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09246BA-1F85-46C7-A449-E10A92FA3A70}" xr6:coauthVersionLast="36" xr6:coauthVersionMax="36" xr10:uidLastSave="{00000000-0000-0000-0000-000000000000}"/>
  <bookViews>
    <workbookView xWindow="0" yWindow="0" windowWidth="28800" windowHeight="11196" xr2:uid="{40FB91C2-B0D7-44FD-A0E7-D73034A449C1}"/>
  </bookViews>
  <sheets>
    <sheet name="23추경3차 총괄표" sheetId="1" r:id="rId1"/>
    <sheet name="23추경3차_명세서(12월)" sheetId="2" r:id="rId2"/>
  </sheets>
  <definedNames>
    <definedName name="_xlnm.Print_Titles" localSheetId="0">'23추경3차 총괄표'!$3:$4</definedName>
    <definedName name="_xlnm.Print_Titles" localSheetId="1">'23추경3차_명세서(12월)'!$3:$4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3" i="2" l="1"/>
  <c r="E48" i="2"/>
  <c r="F46" i="2"/>
  <c r="F53" i="2" l="1"/>
  <c r="F72" i="2"/>
  <c r="F73" i="2" s="1"/>
  <c r="G71" i="2"/>
  <c r="G73" i="2" s="1"/>
  <c r="I46" i="2"/>
  <c r="F41" i="2"/>
  <c r="F39" i="2"/>
  <c r="F22" i="2"/>
  <c r="G17" i="2"/>
  <c r="I17" i="2" s="1"/>
  <c r="J17" i="2" s="1"/>
  <c r="K17" i="2" s="1"/>
  <c r="F13" i="2"/>
  <c r="I13" i="2"/>
  <c r="J13" i="2" s="1"/>
  <c r="K13" i="2" s="1"/>
  <c r="E14" i="2"/>
  <c r="D21" i="1"/>
  <c r="D16" i="1"/>
  <c r="D8" i="1"/>
  <c r="D14" i="1" s="1"/>
  <c r="D15" i="1" s="1"/>
  <c r="F13" i="1"/>
  <c r="G13" i="1" s="1"/>
  <c r="H70" i="2"/>
  <c r="H73" i="2" s="1"/>
  <c r="E69" i="2"/>
  <c r="G68" i="2"/>
  <c r="I68" i="2" s="1"/>
  <c r="J68" i="2" s="1"/>
  <c r="K68" i="2" s="1"/>
  <c r="I67" i="2"/>
  <c r="J67" i="2" s="1"/>
  <c r="K67" i="2" s="1"/>
  <c r="G67" i="2"/>
  <c r="I66" i="2"/>
  <c r="J66" i="2" s="1"/>
  <c r="K66" i="2" s="1"/>
  <c r="I65" i="2"/>
  <c r="J65" i="2" s="1"/>
  <c r="K65" i="2" s="1"/>
  <c r="I64" i="2"/>
  <c r="J64" i="2" s="1"/>
  <c r="K64" i="2" s="1"/>
  <c r="G64" i="2"/>
  <c r="I63" i="2"/>
  <c r="J63" i="2" s="1"/>
  <c r="K63" i="2" s="1"/>
  <c r="I62" i="2"/>
  <c r="J62" i="2" s="1"/>
  <c r="K62" i="2" s="1"/>
  <c r="I61" i="2"/>
  <c r="J61" i="2" s="1"/>
  <c r="K61" i="2" s="1"/>
  <c r="I60" i="2"/>
  <c r="J60" i="2" s="1"/>
  <c r="K60" i="2" s="1"/>
  <c r="I59" i="2"/>
  <c r="J59" i="2" s="1"/>
  <c r="K59" i="2" s="1"/>
  <c r="I58" i="2"/>
  <c r="J58" i="2" s="1"/>
  <c r="K58" i="2" s="1"/>
  <c r="I57" i="2"/>
  <c r="J57" i="2" s="1"/>
  <c r="K57" i="2" s="1"/>
  <c r="I56" i="2"/>
  <c r="J56" i="2" s="1"/>
  <c r="K56" i="2" s="1"/>
  <c r="I55" i="2"/>
  <c r="J55" i="2" s="1"/>
  <c r="K55" i="2" s="1"/>
  <c r="I54" i="2"/>
  <c r="J54" i="2" s="1"/>
  <c r="K54" i="2" s="1"/>
  <c r="I53" i="2"/>
  <c r="J53" i="2" s="1"/>
  <c r="K53" i="2" s="1"/>
  <c r="H52" i="2"/>
  <c r="H69" i="2" s="1"/>
  <c r="I51" i="2"/>
  <c r="J51" i="2" s="1"/>
  <c r="K51" i="2" s="1"/>
  <c r="F50" i="2"/>
  <c r="F69" i="2" s="1"/>
  <c r="I49" i="2"/>
  <c r="J49" i="2" s="1"/>
  <c r="K49" i="2" s="1"/>
  <c r="H48" i="2"/>
  <c r="G47" i="2"/>
  <c r="G48" i="2" s="1"/>
  <c r="F47" i="2"/>
  <c r="I47" i="2" s="1"/>
  <c r="J47" i="2" s="1"/>
  <c r="K47" i="2" s="1"/>
  <c r="H45" i="2"/>
  <c r="E45" i="2"/>
  <c r="E74" i="2" s="1"/>
  <c r="I44" i="2"/>
  <c r="J44" i="2" s="1"/>
  <c r="K44" i="2" s="1"/>
  <c r="G43" i="2"/>
  <c r="F43" i="2"/>
  <c r="I43" i="2" s="1"/>
  <c r="J43" i="2" s="1"/>
  <c r="K43" i="2" s="1"/>
  <c r="F42" i="2"/>
  <c r="I42" i="2" s="1"/>
  <c r="J42" i="2" s="1"/>
  <c r="K42" i="2" s="1"/>
  <c r="G41" i="2"/>
  <c r="I41" i="2" s="1"/>
  <c r="J41" i="2" s="1"/>
  <c r="K41" i="2" s="1"/>
  <c r="I40" i="2"/>
  <c r="J40" i="2" s="1"/>
  <c r="K40" i="2" s="1"/>
  <c r="G39" i="2"/>
  <c r="I38" i="2"/>
  <c r="J38" i="2" s="1"/>
  <c r="K38" i="2" s="1"/>
  <c r="I37" i="2"/>
  <c r="J37" i="2" s="1"/>
  <c r="K37" i="2" s="1"/>
  <c r="I36" i="2"/>
  <c r="J36" i="2" s="1"/>
  <c r="K36" i="2" s="1"/>
  <c r="G35" i="2"/>
  <c r="I35" i="2" s="1"/>
  <c r="J35" i="2" s="1"/>
  <c r="K35" i="2" s="1"/>
  <c r="I34" i="2"/>
  <c r="J34" i="2" s="1"/>
  <c r="K34" i="2" s="1"/>
  <c r="G27" i="2"/>
  <c r="F27" i="2"/>
  <c r="E27" i="2"/>
  <c r="I26" i="2"/>
  <c r="J26" i="2" s="1"/>
  <c r="K26" i="2" s="1"/>
  <c r="K27" i="2" s="1"/>
  <c r="H26" i="2"/>
  <c r="H27" i="2" s="1"/>
  <c r="I25" i="2"/>
  <c r="F24" i="2"/>
  <c r="E24" i="2"/>
  <c r="G23" i="2"/>
  <c r="G24" i="2" s="1"/>
  <c r="H22" i="2"/>
  <c r="H24" i="2" s="1"/>
  <c r="H21" i="2"/>
  <c r="F21" i="2"/>
  <c r="E21" i="2"/>
  <c r="G20" i="2"/>
  <c r="G21" i="2" s="1"/>
  <c r="H19" i="2"/>
  <c r="G19" i="2"/>
  <c r="F19" i="2"/>
  <c r="E19" i="2"/>
  <c r="I18" i="2"/>
  <c r="J18" i="2" s="1"/>
  <c r="K18" i="2" s="1"/>
  <c r="J16" i="2"/>
  <c r="K16" i="2" s="1"/>
  <c r="H14" i="2"/>
  <c r="H15" i="2" s="1"/>
  <c r="G14" i="2"/>
  <c r="G15" i="2" s="1"/>
  <c r="I12" i="2"/>
  <c r="J12" i="2" s="1"/>
  <c r="K12" i="2" s="1"/>
  <c r="I11" i="2"/>
  <c r="J11" i="2" s="1"/>
  <c r="K11" i="2" s="1"/>
  <c r="F10" i="2"/>
  <c r="I10" i="2" s="1"/>
  <c r="I9" i="2"/>
  <c r="J9" i="2" s="1"/>
  <c r="K9" i="2" s="1"/>
  <c r="F8" i="2"/>
  <c r="I8" i="2" s="1"/>
  <c r="F7" i="2"/>
  <c r="I7" i="2" s="1"/>
  <c r="J7" i="2" s="1"/>
  <c r="K7" i="2" s="1"/>
  <c r="I6" i="2"/>
  <c r="I5" i="2"/>
  <c r="M44" i="1"/>
  <c r="L44" i="1"/>
  <c r="N43" i="1"/>
  <c r="O43" i="1" s="1"/>
  <c r="N42" i="1"/>
  <c r="O42" i="1" s="1"/>
  <c r="N41" i="1"/>
  <c r="M40" i="1"/>
  <c r="L40" i="1"/>
  <c r="N39" i="1"/>
  <c r="O39" i="1" s="1"/>
  <c r="N38" i="1"/>
  <c r="O38" i="1" s="1"/>
  <c r="N37" i="1"/>
  <c r="O37" i="1" s="1"/>
  <c r="N36" i="1"/>
  <c r="O36" i="1" s="1"/>
  <c r="N35" i="1"/>
  <c r="O35" i="1" s="1"/>
  <c r="N34" i="1"/>
  <c r="O34" i="1" s="1"/>
  <c r="N33" i="1"/>
  <c r="O33" i="1" s="1"/>
  <c r="N32" i="1"/>
  <c r="O32" i="1" s="1"/>
  <c r="N31" i="1"/>
  <c r="O31" i="1" s="1"/>
  <c r="N30" i="1"/>
  <c r="O30" i="1" s="1"/>
  <c r="N29" i="1"/>
  <c r="O29" i="1" s="1"/>
  <c r="N28" i="1"/>
  <c r="O28" i="1" s="1"/>
  <c r="N27" i="1"/>
  <c r="O27" i="1" s="1"/>
  <c r="E27" i="1"/>
  <c r="D27" i="1"/>
  <c r="N26" i="1"/>
  <c r="O26" i="1" s="1"/>
  <c r="F26" i="1"/>
  <c r="G26" i="1" s="1"/>
  <c r="N25" i="1"/>
  <c r="O25" i="1" s="1"/>
  <c r="F25" i="1"/>
  <c r="G25" i="1" s="1"/>
  <c r="N24" i="1"/>
  <c r="O24" i="1" s="1"/>
  <c r="E24" i="1"/>
  <c r="D24" i="1"/>
  <c r="N23" i="1"/>
  <c r="O23" i="1" s="1"/>
  <c r="F23" i="1"/>
  <c r="G23" i="1" s="1"/>
  <c r="N22" i="1"/>
  <c r="O22" i="1" s="1"/>
  <c r="F22" i="1"/>
  <c r="G22" i="1" s="1"/>
  <c r="N21" i="1"/>
  <c r="O21" i="1" s="1"/>
  <c r="E21" i="1"/>
  <c r="N20" i="1"/>
  <c r="O20" i="1" s="1"/>
  <c r="F20" i="1"/>
  <c r="G20" i="1" s="1"/>
  <c r="M19" i="1"/>
  <c r="L19" i="1"/>
  <c r="N18" i="1"/>
  <c r="O18" i="1" s="1"/>
  <c r="F18" i="1"/>
  <c r="G18" i="1" s="1"/>
  <c r="N17" i="1"/>
  <c r="N19" i="1" s="1"/>
  <c r="F17" i="1"/>
  <c r="G17" i="1" s="1"/>
  <c r="M16" i="1"/>
  <c r="L16" i="1"/>
  <c r="E16" i="1"/>
  <c r="E19" i="1" s="1"/>
  <c r="D19" i="1"/>
  <c r="N15" i="1"/>
  <c r="O15" i="1" s="1"/>
  <c r="N14" i="1"/>
  <c r="O14" i="1" s="1"/>
  <c r="N13" i="1"/>
  <c r="O13" i="1" s="1"/>
  <c r="N12" i="1"/>
  <c r="O12" i="1" s="1"/>
  <c r="F12" i="1"/>
  <c r="G12" i="1" s="1"/>
  <c r="N11" i="1"/>
  <c r="O11" i="1" s="1"/>
  <c r="F11" i="1"/>
  <c r="G11" i="1" s="1"/>
  <c r="N10" i="1"/>
  <c r="O10" i="1" s="1"/>
  <c r="F10" i="1"/>
  <c r="G10" i="1" s="1"/>
  <c r="N9" i="1"/>
  <c r="O9" i="1" s="1"/>
  <c r="F9" i="1"/>
  <c r="G9" i="1" s="1"/>
  <c r="N8" i="1"/>
  <c r="O8" i="1" s="1"/>
  <c r="E8" i="1"/>
  <c r="E14" i="1" s="1"/>
  <c r="E15" i="1" s="1"/>
  <c r="N7" i="1"/>
  <c r="O7" i="1" s="1"/>
  <c r="F7" i="1"/>
  <c r="G7" i="1" s="1"/>
  <c r="N6" i="1"/>
  <c r="O6" i="1" s="1"/>
  <c r="F6" i="1"/>
  <c r="N5" i="1"/>
  <c r="O5" i="1" s="1"/>
  <c r="F5" i="1"/>
  <c r="G5" i="1" s="1"/>
  <c r="I72" i="2" l="1"/>
  <c r="J72" i="2" s="1"/>
  <c r="K72" i="2" s="1"/>
  <c r="I27" i="2"/>
  <c r="J27" i="2" s="1"/>
  <c r="G69" i="2"/>
  <c r="J10" i="2"/>
  <c r="K10" i="2" s="1"/>
  <c r="F16" i="1"/>
  <c r="G16" i="1" s="1"/>
  <c r="F27" i="1"/>
  <c r="G27" i="1" s="1"/>
  <c r="H28" i="2"/>
  <c r="I52" i="2"/>
  <c r="J52" i="2" s="1"/>
  <c r="K52" i="2" s="1"/>
  <c r="I22" i="2"/>
  <c r="O19" i="1"/>
  <c r="I23" i="2"/>
  <c r="J23" i="2" s="1"/>
  <c r="K23" i="2" s="1"/>
  <c r="F48" i="2"/>
  <c r="F74" i="2" s="1"/>
  <c r="F45" i="2"/>
  <c r="G45" i="2"/>
  <c r="J25" i="2"/>
  <c r="K25" i="2" s="1"/>
  <c r="I70" i="2"/>
  <c r="J70" i="2" s="1"/>
  <c r="K70" i="2" s="1"/>
  <c r="H74" i="2"/>
  <c r="I20" i="2"/>
  <c r="I21" i="2" s="1"/>
  <c r="J21" i="2" s="1"/>
  <c r="K21" i="2" s="1"/>
  <c r="I39" i="2"/>
  <c r="J39" i="2" s="1"/>
  <c r="K39" i="2" s="1"/>
  <c r="I19" i="2"/>
  <c r="J19" i="2" s="1"/>
  <c r="K19" i="2" s="1"/>
  <c r="F14" i="2"/>
  <c r="F15" i="2" s="1"/>
  <c r="F28" i="2" s="1"/>
  <c r="I14" i="2"/>
  <c r="I15" i="2" s="1"/>
  <c r="E15" i="2"/>
  <c r="E28" i="2" s="1"/>
  <c r="J8" i="2"/>
  <c r="K8" i="2" s="1"/>
  <c r="J5" i="2"/>
  <c r="K5" i="2" s="1"/>
  <c r="N44" i="1"/>
  <c r="O44" i="1" s="1"/>
  <c r="M45" i="1"/>
  <c r="L45" i="1"/>
  <c r="O41" i="1"/>
  <c r="D28" i="1"/>
  <c r="I45" i="2"/>
  <c r="J45" i="2" s="1"/>
  <c r="K45" i="2" s="1"/>
  <c r="I48" i="2"/>
  <c r="J48" i="2" s="1"/>
  <c r="K48" i="2" s="1"/>
  <c r="J46" i="2"/>
  <c r="K46" i="2" s="1"/>
  <c r="G28" i="2"/>
  <c r="G74" i="2"/>
  <c r="J6" i="2"/>
  <c r="I50" i="2"/>
  <c r="I71" i="2"/>
  <c r="J71" i="2" s="1"/>
  <c r="K71" i="2" s="1"/>
  <c r="E28" i="1"/>
  <c r="F15" i="1"/>
  <c r="F19" i="1"/>
  <c r="G19" i="1" s="1"/>
  <c r="G6" i="1"/>
  <c r="F8" i="1"/>
  <c r="G8" i="1" s="1"/>
  <c r="F24" i="1"/>
  <c r="G24" i="1" s="1"/>
  <c r="N40" i="1"/>
  <c r="O40" i="1" s="1"/>
  <c r="O17" i="1"/>
  <c r="N16" i="1"/>
  <c r="F21" i="1"/>
  <c r="G21" i="1" s="1"/>
  <c r="I24" i="2" l="1"/>
  <c r="J24" i="2" s="1"/>
  <c r="K24" i="2" s="1"/>
  <c r="J22" i="2"/>
  <c r="K22" i="2" s="1"/>
  <c r="J20" i="2"/>
  <c r="K20" i="2" s="1"/>
  <c r="I73" i="2"/>
  <c r="J73" i="2" s="1"/>
  <c r="K73" i="2" s="1"/>
  <c r="I28" i="2"/>
  <c r="J28" i="2" s="1"/>
  <c r="K28" i="2" s="1"/>
  <c r="F14" i="1"/>
  <c r="G14" i="1" s="1"/>
  <c r="J50" i="2"/>
  <c r="K50" i="2" s="1"/>
  <c r="I69" i="2"/>
  <c r="J69" i="2" s="1"/>
  <c r="K69" i="2" s="1"/>
  <c r="J14" i="2"/>
  <c r="J15" i="2" s="1"/>
  <c r="K6" i="2"/>
  <c r="K14" i="2" s="1"/>
  <c r="K15" i="2" s="1"/>
  <c r="F28" i="1"/>
  <c r="G28" i="1" s="1"/>
  <c r="G15" i="1"/>
  <c r="O16" i="1"/>
  <c r="N45" i="1"/>
  <c r="O45" i="1" s="1"/>
  <c r="I74" i="2" l="1"/>
  <c r="J74" i="2" s="1"/>
  <c r="K74" i="2" s="1"/>
</calcChain>
</file>

<file path=xl/sharedStrings.xml><?xml version="1.0" encoding="utf-8"?>
<sst xmlns="http://schemas.openxmlformats.org/spreadsheetml/2006/main" count="361" uniqueCount="215">
  <si>
    <t>(단위:천원)</t>
    <phoneticPr fontId="4" type="noConversion"/>
  </si>
  <si>
    <t>계 정 과 목</t>
  </si>
  <si>
    <t>증감
B-A</t>
    <phoneticPr fontId="4" type="noConversion"/>
  </si>
  <si>
    <t>증감율</t>
    <phoneticPr fontId="4" type="noConversion"/>
  </si>
  <si>
    <t>관/항</t>
    <phoneticPr fontId="4" type="noConversion"/>
  </si>
  <si>
    <t>목</t>
  </si>
  <si>
    <t>세목</t>
  </si>
  <si>
    <t>관</t>
  </si>
  <si>
    <t>항</t>
  </si>
  <si>
    <t>보조금수입</t>
  </si>
  <si>
    <t>국고
보조금</t>
    <phoneticPr fontId="4" type="noConversion"/>
  </si>
  <si>
    <t>거리노숙인특화자활사업비</t>
  </si>
  <si>
    <t>사무비</t>
    <phoneticPr fontId="4" type="noConversion"/>
  </si>
  <si>
    <t>인건비</t>
    <phoneticPr fontId="4" type="noConversion"/>
  </si>
  <si>
    <t>급여</t>
  </si>
  <si>
    <t>시군구보조금</t>
    <phoneticPr fontId="4" type="noConversion"/>
  </si>
  <si>
    <t>서울시일자리 자활근로비</t>
  </si>
  <si>
    <t>일용잡급</t>
  </si>
  <si>
    <t>관리운영비</t>
  </si>
  <si>
    <t>퇴직금 및 퇴직적립금</t>
  </si>
  <si>
    <t>급식비</t>
  </si>
  <si>
    <t>사회보험부담금</t>
  </si>
  <si>
    <t>인건비</t>
  </si>
  <si>
    <t>기타후생경비</t>
  </si>
  <si>
    <t>기능보강비</t>
  </si>
  <si>
    <t>업무추진비</t>
  </si>
  <si>
    <t>회의비</t>
  </si>
  <si>
    <t>명절차례상비</t>
  </si>
  <si>
    <t>운영비</t>
    <phoneticPr fontId="4" type="noConversion"/>
  </si>
  <si>
    <t>여비</t>
  </si>
  <si>
    <t>차량유지비</t>
  </si>
  <si>
    <t>수용비 및 수수료</t>
  </si>
  <si>
    <t>무더위&amp;동절기쉼터사업비</t>
  </si>
  <si>
    <t>공공요금</t>
  </si>
  <si>
    <t>(시보조금 소계)</t>
    <phoneticPr fontId="4" type="noConversion"/>
  </si>
  <si>
    <t>제세공과금</t>
  </si>
  <si>
    <t>보조금 소계:</t>
    <phoneticPr fontId="4" type="noConversion"/>
  </si>
  <si>
    <t>차량비</t>
  </si>
  <si>
    <t>후원금수입</t>
  </si>
  <si>
    <t>지정
후원금</t>
    <phoneticPr fontId="4" type="noConversion"/>
  </si>
  <si>
    <t>서노협
후원금</t>
    <phoneticPr fontId="4" type="noConversion"/>
  </si>
  <si>
    <t>사무비 소계:</t>
    <phoneticPr fontId="4" type="noConversion"/>
  </si>
  <si>
    <t>기타지정후원금</t>
  </si>
  <si>
    <t>재산조성비</t>
  </si>
  <si>
    <t>시설비</t>
  </si>
  <si>
    <t>자산취득비</t>
  </si>
  <si>
    <t>비지정후원금</t>
  </si>
  <si>
    <t>시설장비유지비</t>
  </si>
  <si>
    <t>후원금 소계:</t>
    <phoneticPr fontId="4" type="noConversion"/>
  </si>
  <si>
    <t>재산조성비 소계:</t>
    <phoneticPr fontId="4" type="noConversion"/>
  </si>
  <si>
    <t>전입금</t>
  </si>
  <si>
    <t>법인전입금(후원금)</t>
    <phoneticPr fontId="4" type="noConversion"/>
  </si>
  <si>
    <t>열린복지전입금(후원금)</t>
  </si>
  <si>
    <t>사업비</t>
    <phoneticPr fontId="4" type="noConversion"/>
  </si>
  <si>
    <t>생계비</t>
  </si>
  <si>
    <t>전입금 소계:</t>
    <phoneticPr fontId="4" type="noConversion"/>
  </si>
  <si>
    <t>수용기관경비</t>
  </si>
  <si>
    <t>이월금</t>
  </si>
  <si>
    <t>전년도이월금</t>
  </si>
  <si>
    <t>전년도 이월금</t>
    <phoneticPr fontId="4" type="noConversion"/>
  </si>
  <si>
    <t>의료비</t>
  </si>
  <si>
    <t>전년도이월금(후원금)</t>
  </si>
  <si>
    <t>전년도 이월금 (후원금)</t>
    <phoneticPr fontId="4" type="noConversion"/>
  </si>
  <si>
    <t>특별급식비</t>
  </si>
  <si>
    <t>이월금 소계:</t>
    <phoneticPr fontId="4" type="noConversion"/>
  </si>
  <si>
    <t>사
업
비</t>
    <phoneticPr fontId="4" type="noConversion"/>
  </si>
  <si>
    <t>사업비</t>
  </si>
  <si>
    <t>잡수입</t>
  </si>
  <si>
    <t>기타
예금
이자
수입</t>
    <phoneticPr fontId="4" type="noConversion"/>
  </si>
  <si>
    <t>기타예금이자수입</t>
  </si>
  <si>
    <t>서울시
일자리
(구 특별자활근로)
사업비</t>
    <phoneticPr fontId="4" type="noConversion"/>
  </si>
  <si>
    <t>서울시일자리 
자활근로사업</t>
    <phoneticPr fontId="4" type="noConversion"/>
  </si>
  <si>
    <t>기타
잡수입</t>
    <phoneticPr fontId="4" type="noConversion"/>
  </si>
  <si>
    <t>거리
노숙인 특화
자활사업비</t>
    <phoneticPr fontId="4" type="noConversion"/>
  </si>
  <si>
    <t>거리특화 사례관리자 
인건비</t>
    <phoneticPr fontId="4" type="noConversion"/>
  </si>
  <si>
    <t>잡수입 소계:</t>
    <phoneticPr fontId="4" type="noConversion"/>
  </si>
  <si>
    <t>거리특화운영비</t>
  </si>
  <si>
    <t>세입 게:</t>
    <phoneticPr fontId="4" type="noConversion"/>
  </si>
  <si>
    <t>거리참여자 
인건비</t>
    <phoneticPr fontId="4" type="noConversion"/>
  </si>
  <si>
    <t>거리참여자 프로그램비</t>
  </si>
  <si>
    <t>거리특화 여비</t>
  </si>
  <si>
    <t>여성일터사업비</t>
    <phoneticPr fontId="4" type="noConversion"/>
  </si>
  <si>
    <t>지정후원사업비</t>
  </si>
  <si>
    <t>서노협
지원사업비</t>
    <phoneticPr fontId="4" type="noConversion"/>
  </si>
  <si>
    <t>명절프로그램비</t>
  </si>
  <si>
    <t>겨울철난방지원비 등</t>
  </si>
  <si>
    <t>기타지정후원사업</t>
    <phoneticPr fontId="4" type="noConversion"/>
  </si>
  <si>
    <t>겨울나기사업</t>
    <phoneticPr fontId="4" type="noConversion"/>
  </si>
  <si>
    <t>교육문화사업비</t>
    <phoneticPr fontId="4" type="noConversion"/>
  </si>
  <si>
    <t>직원교육사업비</t>
  </si>
  <si>
    <t>직원교육사업</t>
  </si>
  <si>
    <t>교육문화사업비</t>
  </si>
  <si>
    <t>노숙인교육문화사업</t>
  </si>
  <si>
    <t>실습생교육사업비</t>
  </si>
  <si>
    <t>실습생교육비</t>
  </si>
  <si>
    <t>사례관리사업비</t>
  </si>
  <si>
    <t>사례관리비</t>
  </si>
  <si>
    <t>자원봉사&amp;홍보사업비</t>
  </si>
  <si>
    <t>사업비 소계:</t>
    <phoneticPr fontId="4" type="noConversion"/>
  </si>
  <si>
    <t>예비비 및 기타</t>
  </si>
  <si>
    <t>예비비</t>
  </si>
  <si>
    <t>시설환경개선준비금</t>
  </si>
  <si>
    <t>반환금</t>
  </si>
  <si>
    <t>예비비및기타 소계:</t>
    <phoneticPr fontId="4" type="noConversion"/>
  </si>
  <si>
    <t>세출 계:</t>
    <phoneticPr fontId="4" type="noConversion"/>
  </si>
  <si>
    <t>(단위:원)</t>
    <phoneticPr fontId="4" type="noConversion"/>
  </si>
  <si>
    <t>증감
C-B</t>
    <phoneticPr fontId="4" type="noConversion"/>
  </si>
  <si>
    <t>산출근거 및 증감사유</t>
    <phoneticPr fontId="4" type="noConversion"/>
  </si>
  <si>
    <t>보조금</t>
    <phoneticPr fontId="4" type="noConversion"/>
  </si>
  <si>
    <t>후원금</t>
    <phoneticPr fontId="4" type="noConversion"/>
  </si>
  <si>
    <t>자부담</t>
    <phoneticPr fontId="4" type="noConversion"/>
  </si>
  <si>
    <t>보조금수입</t>
    <phoneticPr fontId="4" type="noConversion"/>
  </si>
  <si>
    <t>거리노숙인
특화
자활사업비</t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</si>
  <si>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보건복지부&amp;한국자활복지개발원 공모 &lt;거리노숙인 특화자활사업: 여성일터&gt; 181,546,000원.
</t>
    </r>
    <phoneticPr fontId="4" type="noConversion"/>
  </si>
  <si>
    <t>서울시일자리사업비</t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</si>
  <si>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>: 서울시공공일자리(자활근로사업) 54,206,400원(급여1,033,900원×4명×12월=49,627,200원, 사회보장비95,400원×4명×12월=4,579,200원).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</si>
  <si>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급식비 88,010천원(1끼4,000원×65명×365=94,900천원).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</si>
  <si>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인건비 291,292,060원(시설장1,상담원2,생활지도원1,조리원1,취사원1에 대한 서울시지원기준: 급여253,002,170원, 사회보장비&amp;퇴직적립금48,067,280원)
</t>
    </r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종사원복지포인트 2,000천원(10년이상400천원×2명+10년미만300천원×4명)
</t>
    </r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</si>
  <si>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(설명절지원비10천원×23명)+(추석명절지원비10천원×23명)=460천원.
</t>
    </r>
    <phoneticPr fontId="4" type="noConversion"/>
  </si>
  <si>
    <r>
      <t xml:space="preserve">_보조금: </t>
    </r>
    <r>
      <rPr>
        <sz val="9"/>
        <rFont val="맑은 고딕"/>
        <family val="3"/>
        <charset val="129"/>
      </rPr>
      <t>차량유지비 2,400천원(200천원×12월=2,400천원).</t>
    </r>
    <r>
      <rPr>
        <b/>
        <sz val="9"/>
        <rFont val="맑은 고딕"/>
        <family val="3"/>
        <charset val="129"/>
      </rPr>
      <t xml:space="preserve">
</t>
    </r>
    <phoneticPr fontId="4" type="noConversion"/>
  </si>
  <si>
    <t>서노협후원금</t>
  </si>
  <si>
    <r>
      <rPr>
        <b/>
        <sz val="9"/>
        <rFont val="맑은 고딕"/>
        <family val="3"/>
        <charset val="129"/>
      </rPr>
      <t>_서노협지정후원금</t>
    </r>
    <r>
      <rPr>
        <sz val="9"/>
        <rFont val="맑은 고딕"/>
        <family val="3"/>
        <charset val="129"/>
      </rPr>
      <t xml:space="preserve">: 4,800천원(모금회 냉·난방비 지원금 2,400천원, 모금회 명절지원비 2,400천원)
</t>
    </r>
    <phoneticPr fontId="4" type="noConversion"/>
  </si>
  <si>
    <r>
      <rPr>
        <b/>
        <sz val="9"/>
        <rFont val="맑은 고딕"/>
        <family val="3"/>
        <charset val="129"/>
      </rPr>
      <t>_일반후원금(비지정</t>
    </r>
    <r>
      <rPr>
        <sz val="9"/>
        <rFont val="맑은 고딕"/>
        <family val="3"/>
        <charset val="129"/>
      </rPr>
      <t xml:space="preserve">): 400천원×12월=4,800천원.
</t>
    </r>
    <phoneticPr fontId="4" type="noConversion"/>
  </si>
  <si>
    <t>법인
전입금(후원금)</t>
    <phoneticPr fontId="4" type="noConversion"/>
  </si>
  <si>
    <r>
      <rPr>
        <b/>
        <sz val="9"/>
        <rFont val="맑은 고딕"/>
        <family val="3"/>
        <charset val="129"/>
      </rPr>
      <t xml:space="preserve">_기타예금이자: </t>
    </r>
    <r>
      <rPr>
        <sz val="9"/>
        <rFont val="맑은 고딕"/>
        <family val="3"/>
        <charset val="129"/>
      </rPr>
      <t xml:space="preserve">보조금 외 통장 이자 10천원.
</t>
    </r>
    <r>
      <rPr>
        <b/>
        <sz val="9"/>
        <rFont val="맑은 고딕"/>
        <family val="3"/>
        <charset val="129"/>
      </rPr>
      <t xml:space="preserve">_기타예금이자: </t>
    </r>
    <r>
      <rPr>
        <sz val="9"/>
        <rFont val="맑은 고딕"/>
        <family val="3"/>
        <charset val="129"/>
      </rPr>
      <t xml:space="preserve">보조금이자 40천원.
</t>
    </r>
    <phoneticPr fontId="4" type="noConversion"/>
  </si>
  <si>
    <t>기타잡수입</t>
  </si>
  <si>
    <r>
      <rPr>
        <b/>
        <sz val="9"/>
        <rFont val="맑은 고딕"/>
        <family val="3"/>
        <charset val="129"/>
      </rPr>
      <t xml:space="preserve">_자부담(직원식비통장): </t>
    </r>
    <r>
      <rPr>
        <sz val="9"/>
        <rFont val="맑은 고딕"/>
        <family val="3"/>
        <charset val="129"/>
      </rPr>
      <t xml:space="preserve">직원자부담식비 40천원×6명×12월=2,880천원. + 40천원×1명×10월=400천원.
</t>
    </r>
    <r>
      <rPr>
        <b/>
        <sz val="9"/>
        <rFont val="맑은 고딕"/>
        <family val="3"/>
        <charset val="129"/>
      </rPr>
      <t>_자부담(잡수입통장):</t>
    </r>
    <r>
      <rPr>
        <sz val="9"/>
        <rFont val="맑은 고딕"/>
        <family val="3"/>
        <charset val="129"/>
      </rPr>
      <t xml:space="preserve"> 실습생실습비3명×100천원=300천원.
</t>
    </r>
    <phoneticPr fontId="4" type="noConversion"/>
  </si>
  <si>
    <t/>
  </si>
  <si>
    <t>2차추경예산
B</t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</si>
  <si>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시설장1,상담원2,생활지도원1,조리원1, 취사원1의 서울시예산기준 급여 251,002,170원.
</t>
    </r>
    <phoneticPr fontId="4" type="noConversion"/>
  </si>
  <si>
    <t>일용
잡급</t>
    <phoneticPr fontId="4" type="noConversion"/>
  </si>
  <si>
    <t>퇴직금</t>
    <phoneticPr fontId="4" type="noConversion"/>
  </si>
  <si>
    <t>퇴직금 및
퇴직적립금</t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</si>
  <si>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시설장1,상담원2,생활지도원1,조리원1,취사원1의 퇴직적립금 21,700,290원.
</t>
    </r>
    <phoneticPr fontId="4" type="noConversion"/>
  </si>
  <si>
    <t>사회
보험
부담금</t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</si>
  <si>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시설장1,상담원2,생활지도원1,조리원2의 4대보험료 26,366,990원.
</t>
    </r>
    <phoneticPr fontId="4" type="noConversion"/>
  </si>
  <si>
    <t>기타
후생
경비</t>
    <phoneticPr fontId="4" type="noConversion"/>
  </si>
  <si>
    <r>
      <rPr>
        <b/>
        <sz val="9"/>
        <rFont val="맑은 고딕"/>
        <family val="3"/>
        <charset val="129"/>
      </rPr>
      <t>_법인전입금(후원금):</t>
    </r>
    <r>
      <rPr>
        <sz val="9"/>
        <rFont val="맑은 고딕"/>
        <family val="3"/>
        <charset val="129"/>
      </rPr>
      <t xml:space="preserve"> 기타후생경비 650천원(명절선물비_100천원×7명=650천원).
</t>
    </r>
    <r>
      <rPr>
        <b/>
        <sz val="9"/>
        <rFont val="맑은 고딕"/>
        <family val="3"/>
        <charset val="129"/>
      </rPr>
      <t>_후원금(비지정)</t>
    </r>
    <r>
      <rPr>
        <sz val="9"/>
        <rFont val="맑은 고딕"/>
        <family val="3"/>
        <charset val="129"/>
      </rPr>
      <t xml:space="preserve">: 직원 업무평가 포상 100천원.
</t>
    </r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직원복지포인트 2명×400천원 + 4명×300천원 = 2,000천원.
</t>
    </r>
    <phoneticPr fontId="4" type="noConversion"/>
  </si>
  <si>
    <t>업무
추진비</t>
    <phoneticPr fontId="4" type="noConversion"/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</si>
  <si>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일반후원금의 여비 200천원.
</t>
    </r>
    <phoneticPr fontId="4" type="noConversion"/>
  </si>
  <si>
    <t>수용비 및 
수수료</t>
    <phoneticPr fontId="4" type="noConversion"/>
  </si>
  <si>
    <t>공공
요금</t>
    <phoneticPr fontId="4" type="noConversion"/>
  </si>
  <si>
    <t>제세
공과금</t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</si>
  <si>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주유비 및 차량수선, 차량유지를 위한 제세공과금(차량보험료 710천원+차량세 100천원=810천원) 집행 등 200천원×12월=2,400천원.</t>
    </r>
    <r>
      <rPr>
        <i/>
        <u/>
        <sz val="9"/>
        <rFont val="맑은 고딕"/>
        <family val="3"/>
        <charset val="129"/>
      </rPr>
      <t xml:space="preserve">
</t>
    </r>
    <phoneticPr fontId="4" type="noConversion"/>
  </si>
  <si>
    <t>재산
조성비</t>
    <phoneticPr fontId="4" type="noConversion"/>
  </si>
  <si>
    <t>자산
취득비</t>
    <phoneticPr fontId="4" type="noConversion"/>
  </si>
  <si>
    <t>시설
장비
유지비</t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</si>
  <si>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급식비 94,900천원(1끼4,000원×65명×365=94,900천원).
</t>
    </r>
    <phoneticPr fontId="4" type="noConversion"/>
  </si>
  <si>
    <t>수용
기관
경비</t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</si>
  <si>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운영비의 15%내 수용기관경비 중 구급약 등 의료비 집행 135,920원.
</t>
    </r>
    <phoneticPr fontId="4" type="noConversion"/>
  </si>
  <si>
    <t>특별
급식비</t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</si>
  <si>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명절지원비 460천원(설 10천원×23명 + 추석10천원×23명).
</t>
    </r>
    <r>
      <rPr>
        <b/>
        <sz val="9"/>
        <rFont val="맑은 고딕"/>
        <family val="3"/>
        <charset val="129"/>
      </rPr>
      <t>_자부담:</t>
    </r>
    <r>
      <rPr>
        <sz val="9"/>
        <rFont val="맑은 고딕"/>
        <family val="3"/>
        <charset val="129"/>
      </rPr>
      <t xml:space="preserve"> 직원자부담식비(잡수입)의 특별급식비 편성 3,280천원.
</t>
    </r>
    <r>
      <rPr>
        <b/>
        <sz val="9"/>
        <rFont val="맑은 고딕"/>
        <family val="3"/>
        <charset val="129"/>
      </rPr>
      <t>_전년이월금(직원자부담식비):</t>
    </r>
    <r>
      <rPr>
        <sz val="9"/>
        <rFont val="맑은 고딕"/>
        <family val="3"/>
        <charset val="129"/>
      </rPr>
      <t xml:space="preserve"> 특별급식비 편성 450,929원.
</t>
    </r>
    <phoneticPr fontId="4" type="noConversion"/>
  </si>
  <si>
    <t>서울시일자리 (구 자활근로사업)</t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</si>
  <si>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서울시공공일자리(자활근로사업) 54,206,400원(급여 1,033,900원×4명×12월=49,627,200원, 사회보장비 95,400원×4명×12월=4,579,200원).
</t>
    </r>
    <phoneticPr fontId="4" type="noConversion"/>
  </si>
  <si>
    <t>거리
노숙인
특화 
자활
사업비</t>
    <phoneticPr fontId="4" type="noConversion"/>
  </si>
  <si>
    <t>거리특화 
사례관리자 
인건비</t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</si>
  <si>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 공모 ‘거리노숙인특화자활사업-여성일터’ 전담사례관리자 인건비 3,400천원×12월=40,800천원
</t>
    </r>
    <phoneticPr fontId="4" type="noConversion"/>
  </si>
  <si>
    <t>거리특화
운영비</t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</si>
  <si>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운영비
</t>
    </r>
    <phoneticPr fontId="4" type="noConversion"/>
  </si>
  <si>
    <t>거리참여자 인건비</t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</si>
  <si>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참여자 인건비
 ○일참여비: 참여자13명×시급 9,620원×59시간×12개월
 ○참석수당: 참여자13명×6천원×20일×12개월
 ○사회보험료 기관부담금: 참여자13명×71,810원×12개월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</si>
  <si>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참여자 프로그램비(교육 및 심리정서PG) 15,600천원.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</si>
  <si>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_기타보조금(국고):</t>
    </r>
    <r>
      <rPr>
        <sz val="9"/>
        <rFont val="맑은 고딕"/>
        <family val="3"/>
        <charset val="129"/>
      </rPr>
      <t xml:space="preserve"> 보건복지부&amp;자활복지개발원공모 ‘거리노숙인특화자활사업-여성일터’ 사례관리자 여비 1,200천원.
</t>
    </r>
    <phoneticPr fontId="4" type="noConversion"/>
  </si>
  <si>
    <t>여성
일터
사업비</t>
    <phoneticPr fontId="4" type="noConversion"/>
  </si>
  <si>
    <t>지정후원
사업비</t>
    <phoneticPr fontId="4" type="noConversion"/>
  </si>
  <si>
    <t>서노협지원
사업비</t>
    <phoneticPr fontId="4" type="noConversion"/>
  </si>
  <si>
    <r>
      <rPr>
        <b/>
        <sz val="9"/>
        <rFont val="맑은 고딕"/>
        <family val="3"/>
        <charset val="129"/>
      </rPr>
      <t>_지정후원금:</t>
    </r>
    <r>
      <rPr>
        <sz val="9"/>
        <rFont val="맑은 고딕"/>
        <family val="3"/>
        <charset val="129"/>
      </rPr>
      <t xml:space="preserve"> 서노협 명절(설,추석) 지원비 30명×40천원×2회=2,400천원.
</t>
    </r>
    <phoneticPr fontId="4" type="noConversion"/>
  </si>
  <si>
    <t>냉난방지원비 등</t>
    <phoneticPr fontId="4" type="noConversion"/>
  </si>
  <si>
    <r>
      <rPr>
        <b/>
        <sz val="9"/>
        <rFont val="맑은 고딕"/>
        <family val="3"/>
        <charset val="129"/>
      </rPr>
      <t>_지정후원금:</t>
    </r>
    <r>
      <rPr>
        <sz val="9"/>
        <rFont val="맑은 고딕"/>
        <family val="3"/>
        <charset val="129"/>
      </rPr>
      <t xml:space="preserve"> 서노협 통한 모금회 난방&amp;냉방비 지원금 2,400천원(냉·난방비 구분지원.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21년 서노협 통한 난방비지원금의 이월금2,281,970원.</t>
    </r>
    <r>
      <rPr>
        <sz val="9"/>
        <rFont val="맑은 고딕"/>
        <family val="3"/>
        <charset val="129"/>
      </rPr>
      <t xml:space="preserve">
</t>
    </r>
    <phoneticPr fontId="4" type="noConversion"/>
  </si>
  <si>
    <t>기타
지정
후원
사업비</t>
    <phoneticPr fontId="4" type="noConversion"/>
  </si>
  <si>
    <t>겨울나기사업비</t>
    <phoneticPr fontId="4" type="noConversion"/>
  </si>
  <si>
    <r>
      <rPr>
        <b/>
        <sz val="9"/>
        <rFont val="맑은 고딕"/>
        <family val="3"/>
        <charset val="129"/>
      </rPr>
      <t xml:space="preserve">_전년이월금(후원금): </t>
    </r>
    <r>
      <rPr>
        <sz val="9"/>
        <rFont val="맑은 고딕"/>
        <family val="3"/>
        <charset val="129"/>
      </rPr>
      <t xml:space="preserve">22년 지정후원금(노숙인 겨울나기와 공간정리사업) 이월금 집행 </t>
    </r>
    <phoneticPr fontId="4" type="noConversion"/>
  </si>
  <si>
    <t>교육
문화
사업비</t>
    <phoneticPr fontId="4" type="noConversion"/>
  </si>
  <si>
    <t>직원
교육
사업비</t>
    <phoneticPr fontId="4" type="noConversion"/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</si>
  <si>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이용인교육,프로그램,행사지원 등 200천원.
</t>
    </r>
    <phoneticPr fontId="4" type="noConversion"/>
  </si>
  <si>
    <t>실습생교육
사업비</t>
    <phoneticPr fontId="4" type="noConversion"/>
  </si>
  <si>
    <r>
      <rPr>
        <b/>
        <sz val="9"/>
        <rFont val="맑은 고딕"/>
        <family val="3"/>
        <charset val="129"/>
      </rPr>
      <t>_자부담:</t>
    </r>
    <r>
      <rPr>
        <sz val="9"/>
        <rFont val="맑은 고딕"/>
        <family val="3"/>
        <charset val="129"/>
      </rPr>
      <t xml:space="preserve"> 잡수입의 실습생교육비 100천원×3명=300천원.
</t>
    </r>
    <phoneticPr fontId="4" type="noConversion"/>
  </si>
  <si>
    <t>사례
관리
사업비</t>
    <phoneticPr fontId="4" type="noConversion"/>
  </si>
  <si>
    <r>
      <rPr>
        <b/>
        <sz val="9"/>
        <rFont val="맑은 고딕"/>
        <family val="3"/>
        <charset val="129"/>
      </rPr>
      <t>_일반후원금(비지정):</t>
    </r>
    <r>
      <rPr>
        <sz val="9"/>
        <rFont val="맑은 고딕"/>
        <family val="3"/>
        <charset val="129"/>
      </rPr>
      <t xml:space="preserve"> 사례관리비 800천원.
</t>
    </r>
    <r>
      <rPr>
        <b/>
        <sz val="9"/>
        <rFont val="맑은 고딕"/>
        <family val="3"/>
        <charset val="129"/>
      </rPr>
      <t>_전년이월금(후원금</t>
    </r>
    <r>
      <rPr>
        <sz val="9"/>
        <rFont val="맑은 고딕"/>
        <family val="3"/>
        <charset val="129"/>
      </rPr>
      <t>): 일반후원금(비지정) 이월금 81,111원 + 지정후원금 중 고시원독립 지원 잔액 100원</t>
    </r>
    <r>
      <rPr>
        <sz val="9"/>
        <color indexed="12"/>
        <rFont val="맑은 고딕"/>
        <family val="3"/>
        <charset val="129"/>
      </rPr>
      <t xml:space="preserve">
</t>
    </r>
    <phoneticPr fontId="4" type="noConversion"/>
  </si>
  <si>
    <t>자원봉사&amp;
홍보
사업비</t>
    <phoneticPr fontId="4" type="noConversion"/>
  </si>
  <si>
    <t>자원봉사&amp;
홍보사업비</t>
    <phoneticPr fontId="4" type="noConversion"/>
  </si>
  <si>
    <t>예비비 및 
기타</t>
    <phoneticPr fontId="4" type="noConversion"/>
  </si>
  <si>
    <t>1. 디딤센터 2023년 추경3차(12월) 예산총괄표</t>
    <phoneticPr fontId="4" type="noConversion"/>
  </si>
  <si>
    <t>23년
추경2차
A</t>
    <phoneticPr fontId="4" type="noConversion"/>
  </si>
  <si>
    <t>23년
추경3차
B</t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</si>
  <si>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관리운영비 15,557,040원(76,260원×17명×12월). &lt;90%관리운영비 14,001,336원 +10%수용경비&amp;의료비 1,555,704원 / 특별난방비6,000천원(2,000천원*3개월)/ 특별냉방비 170,000원</t>
    </r>
    <r>
      <rPr>
        <i/>
        <u/>
        <sz val="9"/>
        <color indexed="12"/>
        <rFont val="맑은 고딕"/>
        <family val="3"/>
        <charset val="129"/>
      </rPr>
      <t xml:space="preserve">
</t>
    </r>
    <phoneticPr fontId="4" type="noConversion"/>
  </si>
  <si>
    <r>
      <t>_보조금:</t>
    </r>
    <r>
      <rPr>
        <sz val="9"/>
        <rFont val="맑은 고딕"/>
        <family val="3"/>
        <charset val="129"/>
      </rPr>
      <t xml:space="preserve"> 서울시기능보강비_2023년 시설개보수사업비(주방씽크대교체) 4,325천원, 2023년 장비보강사업비 589천원, 2022년도 장비보강사업비(컴퓨터,선반,창고,책장,신발장) 4,944천원.</t>
    </r>
    <r>
      <rPr>
        <b/>
        <i/>
        <u/>
        <sz val="9"/>
        <color indexed="12"/>
        <rFont val="맑은 고딕"/>
        <family val="3"/>
        <charset val="129"/>
      </rPr>
      <t xml:space="preserve">
</t>
    </r>
    <phoneticPr fontId="4" type="noConversion"/>
  </si>
  <si>
    <t>3차추경예산
C</t>
    <phoneticPr fontId="4" type="noConversion"/>
  </si>
  <si>
    <t>자금원천별(3차추경예산)</t>
    <phoneticPr fontId="4" type="noConversion"/>
  </si>
  <si>
    <t>3. 디딤센터 2023년 세출예산명세서(추경3차)_12월</t>
    <phoneticPr fontId="4" type="noConversion"/>
  </si>
  <si>
    <r>
      <rPr>
        <b/>
        <sz val="9"/>
        <rFont val="맑은 고딕"/>
        <family val="3"/>
        <charset val="129"/>
      </rPr>
      <t>_법인전입금(후원금)</t>
    </r>
    <r>
      <rPr>
        <sz val="9"/>
        <rFont val="맑은 고딕"/>
        <family val="3"/>
        <charset val="129"/>
      </rPr>
      <t>: 제세공과금 3,125천원(재산보험료,단체상해공제,신원보증보험료,주민세,서노협이사회비&amp;전노협협회비&amp;전노협이사회비 등), 기타후생경비(명절선물비) 650천원, 직원교육비(700천원) 등 3,635천원.</t>
    </r>
    <r>
      <rPr>
        <sz val="9"/>
        <color indexed="12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</si>
  <si>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일용잡금 100천원×6회=600천원.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법인전입금(후원금)통장 이월금의 일용잡급 편성 400천원.</t>
    </r>
    <r>
      <rPr>
        <b/>
        <i/>
        <u/>
        <sz val="9"/>
        <color indexed="12"/>
        <rFont val="맑은 고딕"/>
        <family val="3"/>
        <charset val="129"/>
      </rPr>
      <t/>
    </r>
    <phoneticPr fontId="4" type="noConversion"/>
  </si>
  <si>
    <r>
      <rPr>
        <b/>
        <sz val="9"/>
        <rFont val="맑은 고딕"/>
        <family val="3"/>
        <charset val="129"/>
      </rPr>
      <t xml:space="preserve">
_보조금(서울시기능보강비):</t>
    </r>
    <r>
      <rPr>
        <sz val="9"/>
        <rFont val="맑은 고딕"/>
        <family val="3"/>
        <charset val="129"/>
      </rPr>
      <t xml:space="preserve"> 2023년 시설개보수사업비(주방씽크대교체) 4,325천원 + 빌트인가스레인지 교체 170천원</t>
    </r>
    <r>
      <rPr>
        <b/>
        <sz val="9"/>
        <rFont val="맑은 고딕"/>
        <family val="3"/>
        <charset val="129"/>
      </rPr>
      <t xml:space="preserve">
_후원금(비지정):</t>
    </r>
    <r>
      <rPr>
        <sz val="9"/>
        <rFont val="맑은 고딕"/>
        <family val="3"/>
        <charset val="129"/>
      </rPr>
      <t xml:space="preserve"> 일반후원금의 시설장비유지비 100천원</t>
    </r>
    <r>
      <rPr>
        <b/>
        <i/>
        <u/>
        <sz val="9"/>
        <color indexed="12"/>
        <rFont val="맑은 고딕"/>
        <family val="3"/>
        <charset val="129"/>
      </rPr>
      <t xml:space="preserve">
</t>
    </r>
    <phoneticPr fontId="4" type="noConversion"/>
  </si>
  <si>
    <t>2차추경예산
A</t>
    <phoneticPr fontId="4" type="noConversion"/>
  </si>
  <si>
    <t>3차추경예산
B</t>
    <phoneticPr fontId="4" type="noConversion"/>
  </si>
  <si>
    <r>
      <t>_전년이월금:</t>
    </r>
    <r>
      <rPr>
        <sz val="9"/>
        <color indexed="8"/>
        <rFont val="맑은 고딕"/>
        <family val="3"/>
        <charset val="129"/>
      </rPr>
      <t xml:space="preserve"> 자부담 5,765,047원(잡수입통장 5,741,759원 + 자부담(보조금외 통장)</t>
    </r>
    <r>
      <rPr>
        <sz val="9"/>
        <rFont val="맑은 고딕"/>
        <family val="3"/>
        <charset val="129"/>
      </rPr>
      <t xml:space="preserve"> 이자 13,102원+</t>
    </r>
    <r>
      <rPr>
        <u/>
        <sz val="9"/>
        <rFont val="맑은 고딕"/>
        <family val="3"/>
        <charset val="129"/>
      </rPr>
      <t>공동작업장통장잔액186원+서노협설명절지원사업 잔액110원</t>
    </r>
    <r>
      <rPr>
        <sz val="9"/>
        <color indexed="10"/>
        <rFont val="맑은 고딕"/>
        <family val="3"/>
        <charset val="129"/>
      </rPr>
      <t xml:space="preserve"> </t>
    </r>
    <r>
      <rPr>
        <sz val="9"/>
        <color indexed="8"/>
        <rFont val="맑은 고딕"/>
        <family val="3"/>
        <charset val="129"/>
      </rPr>
      <t xml:space="preserve">+ 23년 예금결산이자 추정액 10천원) 
</t>
    </r>
    <r>
      <rPr>
        <b/>
        <i/>
        <sz val="9"/>
        <rFont val="맑은 고딕"/>
        <family val="3"/>
        <charset val="129"/>
      </rPr>
      <t xml:space="preserve">  </t>
    </r>
    <r>
      <rPr>
        <b/>
        <i/>
        <u/>
        <sz val="9"/>
        <rFont val="맑은 고딕"/>
        <family val="3"/>
        <charset val="129"/>
      </rPr>
      <t>**전년 미사용통장 잔액을 추가확인하고, 서노협지원사업비 잔액을 정산후 잡수입으로 이월하였기에 전년이월금 금액조정.</t>
    </r>
    <r>
      <rPr>
        <b/>
        <i/>
        <u/>
        <sz val="9"/>
        <color indexed="30"/>
        <rFont val="맑은 고딕"/>
        <family val="3"/>
        <charset val="129"/>
      </rPr>
      <t xml:space="preserve">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보조금통장 23년 결산이자 40천원.</t>
    </r>
    <r>
      <rPr>
        <b/>
        <i/>
        <u/>
        <sz val="9"/>
        <color indexed="12"/>
        <rFont val="맑은 고딕"/>
        <family val="3"/>
        <charset val="129"/>
      </rPr>
      <t/>
    </r>
    <phoneticPr fontId="4" type="noConversion"/>
  </si>
  <si>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자원봉사자,후원자와 함께하는 행사 및 지역주민 인식개선 홍보사업 800천원.</t>
    </r>
    <r>
      <rPr>
        <b/>
        <i/>
        <u/>
        <sz val="9"/>
        <color indexed="12"/>
        <rFont val="맑은 고딕"/>
        <family val="3"/>
        <charset val="129"/>
      </rPr>
      <t/>
    </r>
    <phoneticPr fontId="4" type="noConversion"/>
  </si>
  <si>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일반후원금 이월금의 집행 8,200천원(사업공간개선, 일참여자 및 프로그램지원 등 650천원×12개월)</t>
    </r>
    <r>
      <rPr>
        <b/>
        <i/>
        <u/>
        <sz val="9"/>
        <color indexed="12"/>
        <rFont val="맑은 고딕"/>
        <family val="3"/>
        <charset val="129"/>
      </rPr>
      <t/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</si>
  <si>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운영비 15,557,040원(76,260×17명×12월)의 15%인 2,333,560원 내에서 의료비를 제외한 수용기관경비 집행_ 이용자용 수건,휴지,칫솔,치약,비누,세제,침구류 등</t>
    </r>
    <phoneticPr fontId="4" type="noConversion"/>
  </si>
  <si>
    <t>2. 디딤센터 2023년 세입예산명세서(추경3차)_12월</t>
    <phoneticPr fontId="4" type="noConversion"/>
  </si>
  <si>
    <r>
      <rPr>
        <b/>
        <sz val="9"/>
        <rFont val="맑은 고딕"/>
        <family val="3"/>
        <charset val="129"/>
      </rPr>
      <t>_보조금</t>
    </r>
    <r>
      <rPr>
        <sz val="9"/>
        <rFont val="맑은 고딕"/>
        <family val="3"/>
        <charset val="129"/>
      </rPr>
      <t xml:space="preserve">: 무더위쉼터운영비 2,240천원(6~9월 공공요금)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겨울철특별보호대책비(방역비) 1,500천원(500천원×3개월(1월~3월))/ 겨울철특별보호대책비(방역비) 1,000천원(500천원×2개월(11월~12월))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>여름철특별보호대책비(방역비) 2,000천원(500천원×4개월),  여름철특별보호대책비(피복비) 270천원</t>
    </r>
    <r>
      <rPr>
        <sz val="9"/>
        <color indexed="10"/>
        <rFont val="맑은 고딕"/>
        <family val="3"/>
        <charset val="129"/>
      </rPr>
      <t xml:space="preserve">
</t>
    </r>
    <r>
      <rPr>
        <b/>
        <i/>
        <u/>
        <sz val="9"/>
        <color indexed="12"/>
        <rFont val="맑은 고딕"/>
        <family val="3"/>
        <charset val="129"/>
      </rPr>
      <t xml:space="preserve">**23년 겨울철특별보호대책비 1,000천원 추가지원으로 예산 증액. </t>
    </r>
    <phoneticPr fontId="4" type="noConversion"/>
  </si>
  <si>
    <r>
      <rPr>
        <b/>
        <sz val="9"/>
        <rFont val="맑은 고딕"/>
        <family val="3"/>
        <charset val="129"/>
      </rPr>
      <t>_후원금(기타지정후원금)</t>
    </r>
    <r>
      <rPr>
        <sz val="9"/>
        <rFont val="맑은 고딕"/>
        <family val="3"/>
        <charset val="129"/>
      </rPr>
      <t xml:space="preserve">: 시설환경개선(시설확장 등) 기금적립 8,330천원./ 직원교육(해외연수) 지정후원금 1,050천원
</t>
    </r>
    <r>
      <rPr>
        <b/>
        <i/>
        <u/>
        <sz val="9"/>
        <color indexed="12"/>
        <rFont val="맑은 고딕"/>
        <family val="3"/>
        <charset val="129"/>
      </rPr>
      <t xml:space="preserve">**시설환경개선 지정후원금 증가에 따른 예산 증액. </t>
    </r>
    <phoneticPr fontId="4" type="noConversion"/>
  </si>
  <si>
    <r>
      <t>_전년이월금: 17,910,997원</t>
    </r>
    <r>
      <rPr>
        <sz val="9"/>
        <rFont val="맑은 고딕"/>
        <family val="3"/>
        <charset val="129"/>
      </rPr>
      <t xml:space="preserve">
 (1)각 사업통장(보조금통장 외) 
   예금결산이자(자부담) 13,212원
  ㅇ서노협지원통장 1,112원
    (이자잔액1,002원 +
     사업정산후 잔액 잡수입 처리110원)
  ㅇ22년모금회기능보강통장176원
  ㅇ일반후원금통장 11,924원
 (2)기타잡수입통장 이월금 7,751,385천원
    (사업잔액7,729,960원+이자21,425원)
 (3)자부담식비통장 이월금 450,929원
    (사업잔액449,538원+이자1,391원)
 (4)공동작업장통장 186원
    (사업잔액104원+이자82원)
 (5)보조금통장 전년이월금 총9,695,499원
    (사업잔액 9,651,643원+이자43,856원)
  ㅇ운영교부통장 2,468,520원
    (사업잔액2,436,766원+이자31,754원)
  ㅇ복지포인트통장 251,844원
    (사업잔액250,000원+이자1,844원)
  ㅇ서울시일자리(자활)통장 5,309,468원
    (사업잔액5,301,850원+이자7,618원)
  ㅇ무더위쉼터통장 1,665,470원
    (사업잔액1,663,027원+이자2,443원)
  ㅇ기능보강사업통장 이자 128원
  ㅇ거리특화사업통장 이자 69원
  ㅇ코로나방역비통장 이자 1,463원(</t>
    </r>
    <r>
      <rPr>
        <b/>
        <i/>
        <u/>
        <sz val="9"/>
        <rFont val="맑은 고딕"/>
        <family val="3"/>
        <charset val="129"/>
      </rPr>
      <t>20년~22년발생이자</t>
    </r>
    <r>
      <rPr>
        <sz val="9"/>
        <rFont val="맑은 고딕"/>
        <family val="3"/>
        <charset val="129"/>
      </rPr>
      <t>)</t>
    </r>
    <r>
      <rPr>
        <b/>
        <sz val="9"/>
        <rFont val="맑은 고딕"/>
        <family val="3"/>
        <charset val="129"/>
      </rPr>
      <t xml:space="preserve">
</t>
    </r>
    <r>
      <rPr>
        <b/>
        <i/>
        <u/>
        <sz val="9"/>
        <color indexed="12"/>
        <rFont val="맑은 고딕"/>
        <family val="3"/>
        <charset val="129"/>
      </rPr>
      <t>**전년이월금 중 통장 예금결산이자 추가정산으로 인한  전년이월금 수입예산 1,463원 증액</t>
    </r>
    <r>
      <rPr>
        <b/>
        <i/>
        <u/>
        <sz val="9"/>
        <color indexed="30"/>
        <rFont val="맑은 고딕"/>
        <family val="3"/>
        <charset val="129"/>
      </rPr>
      <t xml:space="preserve">
</t>
    </r>
    <r>
      <rPr>
        <b/>
        <sz val="9"/>
        <rFont val="맑은 고딕"/>
        <family val="3"/>
        <charset val="129"/>
      </rPr>
      <t xml:space="preserve">
</t>
    </r>
    <phoneticPr fontId="4" type="noConversion"/>
  </si>
  <si>
    <r>
      <t xml:space="preserve">
_</t>
    </r>
    <r>
      <rPr>
        <b/>
        <sz val="9"/>
        <rFont val="맑은 고딕"/>
        <family val="3"/>
        <charset val="129"/>
      </rPr>
      <t>전년이월금(후원금): 20,384,996천원</t>
    </r>
    <r>
      <rPr>
        <sz val="9"/>
        <rFont val="맑은 고딕"/>
        <family val="3"/>
        <charset val="129"/>
      </rPr>
      <t xml:space="preserve">
 (1)서노협&amp;모금회 지원사업비 2,281,970원.    </t>
    </r>
    <r>
      <rPr>
        <i/>
        <u/>
        <sz val="9"/>
        <rFont val="맑은 고딕"/>
        <family val="3"/>
        <charset val="129"/>
      </rPr>
      <t>**서노협후원금 이월금으로 처리한 통장이자 608원을 삭감함.</t>
    </r>
    <r>
      <rPr>
        <sz val="9"/>
        <rFont val="맑은 고딕"/>
        <family val="3"/>
        <charset val="129"/>
      </rPr>
      <t xml:space="preserve">
 (2)일반후원금통장 비지정후원금  
10,170,143원
 (3)일반후원금통장 지정후원금 3,678,350원 
(겨울나기3000천원+환경개선100천원+업무추진비481,850원+직원교육비96,500원)
 (4)일반후원금통장 21년이월금 집행잔액 
3,715,928원(비지정후원금 집행잔액3,610,968원+지정후원금 집행잔액 104,960원) 
 [</t>
    </r>
    <r>
      <rPr>
        <b/>
        <u/>
        <sz val="9"/>
        <rFont val="맑은 고딕"/>
        <family val="3"/>
        <charset val="129"/>
      </rPr>
      <t>일반후원금통장잔액 총계 17,564,421원]</t>
    </r>
    <r>
      <rPr>
        <sz val="9"/>
        <rFont val="맑은 고딕"/>
        <family val="3"/>
        <charset val="129"/>
      </rPr>
      <t xml:space="preserve">
 (5)법인전입금(후원금) 537,997원
 (6)환경개선전용통장 570,000원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</si>
  <si>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운영위원회 회의비 340천원 (1회×2명×비대면회의20천원=40천원)+(3회*2명*대면회의500천원=300천원) + 식자재심사회의 회의비 300천원(외부위원 6명*50천원)
</t>
    </r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전년이월금(후원금) 중 지정후원금의 회의비 586,710원 집행(22년 업무추진비 지정후원금(회의비) 이월금 481,850원 + 21년 업무추진비 지정후원금 이월금 104,860원)</t>
    </r>
    <r>
      <rPr>
        <sz val="9"/>
        <color indexed="10"/>
        <rFont val="맑은 고딕"/>
        <family val="3"/>
        <charset val="129"/>
      </rPr>
      <t xml:space="preserve">
</t>
    </r>
    <r>
      <rPr>
        <b/>
        <i/>
        <u/>
        <sz val="9"/>
        <color indexed="12"/>
        <rFont val="맑은 고딕"/>
        <family val="3"/>
        <charset val="129"/>
      </rPr>
      <t>**2024년도 식자재공급업체 심사회의 운영을 위해 보조금 회의비 300천원 증액함.</t>
    </r>
    <r>
      <rPr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</si>
  <si>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_전년이월금(후원금):</t>
    </r>
    <r>
      <rPr>
        <sz val="9"/>
        <rFont val="맑은 고딕"/>
        <family val="3"/>
        <charset val="129"/>
      </rPr>
      <t xml:space="preserve"> 일반후원금통장 이월금의 수용비및수수료 집행 4,950천원(월세&amp;관리비 355천원×12월=4,260천원 + 기타 이체수수료 등 690천원)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수용비및수수료 6,964천원(기기렌탈, 사무용품비 등 1,578천원×4분기=6,314천원 + 퇴직연금수수료 650천원).
</t>
    </r>
    <r>
      <rPr>
        <b/>
        <i/>
        <u/>
        <sz val="9"/>
        <color rgb="FF0000FF"/>
        <rFont val="맑은 고딕"/>
        <family val="3"/>
        <charset val="129"/>
      </rPr>
      <t>**회의비 소요액의 증가에 따라 수용비및 수수료에서 203,560원의 예산을 감액하여 운영하고자 함.</t>
    </r>
    <r>
      <rPr>
        <sz val="9"/>
        <color rgb="FF0000FF"/>
        <rFont val="맑은 고딕"/>
        <family val="3"/>
        <charset val="129"/>
      </rPr>
      <t xml:space="preserve">
</t>
    </r>
    <phoneticPr fontId="3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</si>
  <si>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전기료 등 공공요금 10,702천원 (경상운영비의 공공요금 1,133천원×4분기=4,532천원) + (특별난방비 2,000천원×3개월= 6,000천원) + (특별냉방비170천원)
_일반후원금(비지정): 공공요금 250천원×4사분기=1,000천원.
</t>
    </r>
    <phoneticPr fontId="4" type="noConversion"/>
  </si>
  <si>
    <r>
      <rPr>
        <b/>
        <sz val="9"/>
        <rFont val="맑은 고딕"/>
        <family val="3"/>
        <charset val="129"/>
      </rPr>
      <t>_보조금:</t>
    </r>
    <r>
      <rPr>
        <sz val="9"/>
        <rFont val="맑은 고딕"/>
        <family val="3"/>
        <charset val="129"/>
      </rPr>
      <t xml:space="preserve"> 제세공과금(서노협협회비) 840천원</t>
    </r>
    <r>
      <rPr>
        <b/>
        <sz val="9"/>
        <rFont val="맑은 고딕"/>
        <family val="3"/>
        <charset val="129"/>
      </rPr>
      <t xml:space="preserve">
_법인전입금(후원금)</t>
    </r>
    <r>
      <rPr>
        <sz val="9"/>
        <rFont val="맑은 고딕"/>
        <family val="3"/>
        <charset val="129"/>
      </rPr>
      <t xml:space="preserve">: 제세공과금 2,285천원(재산보험료,화제보험료,신원보증보험료,주민세&amp;서노협이사회비&amp;전노협협회비&amp;전노협이사회비 등)
</t>
    </r>
    <r>
      <rPr>
        <b/>
        <sz val="9"/>
        <rFont val="맑은 고딕"/>
        <family val="3"/>
        <charset val="129"/>
      </rPr>
      <t>_전년이월금(후원금)</t>
    </r>
    <r>
      <rPr>
        <sz val="9"/>
        <rFont val="맑은 고딕"/>
        <family val="3"/>
        <charset val="129"/>
      </rPr>
      <t xml:space="preserve">: 법인전입금(후원금)통장 이월금의 제세공과금 단체상해공제 등 137,997원
</t>
    </r>
    <r>
      <rPr>
        <b/>
        <sz val="9"/>
        <rFont val="맑은 고딕"/>
        <family val="3"/>
        <charset val="129"/>
      </rPr>
      <t xml:space="preserve">_전년이월금(후원금): </t>
    </r>
    <r>
      <rPr>
        <sz val="9"/>
        <rFont val="맑은 고딕"/>
        <family val="3"/>
        <charset val="129"/>
      </rPr>
      <t>일반후원금통장 이월금의 제세공과금(거리특화사업 보증보험료 등) 550천원.</t>
    </r>
    <phoneticPr fontId="4" type="noConversion"/>
  </si>
  <si>
    <r>
      <rPr>
        <b/>
        <sz val="9"/>
        <rFont val="맑은 고딕"/>
        <family val="3"/>
        <charset val="129"/>
      </rPr>
      <t xml:space="preserve">_보조금(서울시기능보강비): </t>
    </r>
    <r>
      <rPr>
        <sz val="9"/>
        <rFont val="맑은 고딕"/>
        <family val="3"/>
        <charset val="129"/>
      </rPr>
      <t xml:space="preserve">23년도 기능보강비(장비보강) 세탁기 419천원 + 22년도 기능보강비(장비보강) 컴퓨터,선반,창고,책장,신발장 4,944천원
</t>
    </r>
    <r>
      <rPr>
        <b/>
        <sz val="9"/>
        <rFont val="맑은 고딕"/>
        <family val="3"/>
        <charset val="129"/>
      </rPr>
      <t>_보조금(운영비):</t>
    </r>
    <r>
      <rPr>
        <sz val="9"/>
        <rFont val="맑은 고딕"/>
        <family val="3"/>
        <charset val="129"/>
      </rPr>
      <t xml:space="preserve"> 고장폐기한 이용인체육용품 실내자전거 교체, 청소기 교체, 상담의자, 이용인물품 수납장 교체 등 403,560원
</t>
    </r>
    <r>
      <rPr>
        <b/>
        <i/>
        <u/>
        <sz val="9"/>
        <color rgb="FF0000FF"/>
        <rFont val="맑은 고딕"/>
        <family val="3"/>
        <charset val="129"/>
      </rPr>
      <t>**회의비 소요액의 증가에 따라 운영보조금 자산취득비에서 절감한 96,440원의 예산을 감액함.</t>
    </r>
    <phoneticPr fontId="4" type="noConversion"/>
  </si>
  <si>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무더위쉼터운영비 2,240천원(6~9월 공공요금)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겨울철특별보호대책비(방역비) 1,500천원(500천원×3개월)/ 11월~12월 방역비 1,000천원
</t>
    </r>
    <r>
      <rPr>
        <b/>
        <sz val="9"/>
        <rFont val="맑은 고딕"/>
        <family val="3"/>
        <charset val="129"/>
      </rPr>
      <t xml:space="preserve">_보조금: </t>
    </r>
    <r>
      <rPr>
        <sz val="9"/>
        <rFont val="맑은 고딕"/>
        <family val="3"/>
        <charset val="129"/>
      </rPr>
      <t xml:space="preserve">여름철특별보호대책비(방역비) 2,000천원(500천원×3개월), 여름철특별보호대책비(피복비) 270천원
</t>
    </r>
    <r>
      <rPr>
        <b/>
        <i/>
        <u/>
        <sz val="9"/>
        <color indexed="12"/>
        <rFont val="맑은 고딕"/>
        <family val="3"/>
        <charset val="129"/>
      </rPr>
      <t>**23년 11월~12월 겨울철특별보호대책비(방역비) 지원으로 예산 증액함.</t>
    </r>
    <r>
      <rPr>
        <b/>
        <i/>
        <u/>
        <sz val="9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</si>
  <si>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_법인전입금(후원금):</t>
    </r>
    <r>
      <rPr>
        <sz val="9"/>
        <rFont val="맑은 고딕"/>
        <family val="3"/>
        <charset val="129"/>
      </rPr>
      <t xml:space="preserve"> 직원교육비 100천원×7명=700천원.
</t>
    </r>
    <r>
      <rPr>
        <b/>
        <sz val="9"/>
        <rFont val="맑은 고딕"/>
        <family val="3"/>
        <charset val="129"/>
      </rPr>
      <t>_후원금(비지정):</t>
    </r>
    <r>
      <rPr>
        <sz val="9"/>
        <rFont val="맑은 고딕"/>
        <family val="3"/>
        <charset val="129"/>
      </rPr>
      <t xml:space="preserve"> 직원교육비 1,000천원.
</t>
    </r>
    <r>
      <rPr>
        <b/>
        <sz val="9"/>
        <rFont val="맑은 고딕"/>
        <family val="3"/>
        <charset val="129"/>
      </rPr>
      <t>_후원금(기타지정후원금</t>
    </r>
    <r>
      <rPr>
        <sz val="9"/>
        <rFont val="맑은 고딕"/>
        <family val="3"/>
        <charset val="129"/>
      </rPr>
      <t xml:space="preserve">): 직원교육(해외연수)비 1,050천원
</t>
    </r>
    <r>
      <rPr>
        <b/>
        <sz val="9"/>
        <rFont val="맑은 고딕"/>
        <family val="3"/>
        <charset val="129"/>
      </rPr>
      <t>_전년이월금(지정후원금):</t>
    </r>
    <r>
      <rPr>
        <sz val="9"/>
        <rFont val="맑은 고딕"/>
        <family val="3"/>
        <charset val="129"/>
      </rPr>
      <t xml:space="preserve"> 직원교육비 96,500원
</t>
    </r>
    <r>
      <rPr>
        <b/>
        <sz val="9"/>
        <rFont val="맑은 고딕"/>
        <family val="3"/>
        <charset val="129"/>
      </rPr>
      <t xml:space="preserve">_자부담: </t>
    </r>
    <r>
      <rPr>
        <sz val="9"/>
        <rFont val="맑은 고딕"/>
        <family val="3"/>
        <charset val="129"/>
      </rPr>
      <t>직원교육비 2,00,9626원(22년 여성노숙인사례관리컨퍼런스 상금2,000천원+잡수입통장 자부담금9,626원)</t>
    </r>
    <r>
      <rPr>
        <sz val="9"/>
        <color indexed="12"/>
        <rFont val="맑은 고딕"/>
        <family val="3"/>
        <charset val="129"/>
      </rPr>
      <t xml:space="preserve">
</t>
    </r>
    <phoneticPr fontId="4" type="noConversion"/>
  </si>
  <si>
    <r>
      <rPr>
        <b/>
        <sz val="9"/>
        <rFont val="맑은 고딕"/>
        <family val="3"/>
        <charset val="129"/>
      </rPr>
      <t>_후원금(기타지정후원금):</t>
    </r>
    <r>
      <rPr>
        <sz val="9"/>
        <rFont val="맑은 고딕"/>
        <family val="3"/>
        <charset val="129"/>
      </rPr>
      <t xml:space="preserve"> 시설환경개선(시설확장 등) 기금적립 8,330천원.
_</t>
    </r>
    <r>
      <rPr>
        <b/>
        <sz val="9"/>
        <rFont val="맑은 고딕"/>
        <family val="3"/>
        <charset val="129"/>
      </rPr>
      <t>전년이월금(지정후원금)</t>
    </r>
    <r>
      <rPr>
        <sz val="9"/>
        <rFont val="맑은 고딕"/>
        <family val="3"/>
        <charset val="129"/>
      </rPr>
      <t xml:space="preserve">: 670천원(일반후원금통장100천원+환경개선전용통장570천원)
</t>
    </r>
    <r>
      <rPr>
        <b/>
        <sz val="9"/>
        <rFont val="맑은 고딕"/>
        <family val="3"/>
        <charset val="129"/>
      </rPr>
      <t>_전년이월금(자부담):</t>
    </r>
    <r>
      <rPr>
        <sz val="9"/>
        <rFont val="맑은 고딕"/>
        <family val="3"/>
        <charset val="129"/>
      </rPr>
      <t xml:space="preserve"> 잡수입통장 자부담 이월금의 시설환경개선 기금 적립 5,000천원.
</t>
    </r>
    <r>
      <rPr>
        <b/>
        <i/>
        <u/>
        <sz val="9"/>
        <color indexed="12"/>
        <rFont val="맑은 고딕"/>
        <family val="3"/>
        <charset val="129"/>
      </rPr>
      <t xml:space="preserve">**시설환경개선 지정후원금 수입 3,330천원 증가가 예상되어 시설환경개선 적립 예산 증액.
</t>
    </r>
    <phoneticPr fontId="4" type="noConversion"/>
  </si>
  <si>
    <r>
      <rPr>
        <b/>
        <sz val="9"/>
        <rFont val="맑은 고딕"/>
        <family val="3"/>
        <charset val="129"/>
      </rPr>
      <t>_전년이월금의 반납</t>
    </r>
    <r>
      <rPr>
        <sz val="9"/>
        <rFont val="맑은 고딕"/>
        <family val="3"/>
        <charset val="129"/>
      </rPr>
      <t xml:space="preserve">
</t>
    </r>
    <r>
      <rPr>
        <b/>
        <sz val="9"/>
        <rFont val="맑은 고딕"/>
        <family val="3"/>
        <charset val="129"/>
      </rPr>
      <t xml:space="preserve"> (1) 22년 보조금 집행잔액 반납:</t>
    </r>
    <r>
      <rPr>
        <sz val="9"/>
        <rFont val="맑은 고딕"/>
        <family val="3"/>
        <charset val="129"/>
      </rPr>
      <t xml:space="preserve"> 총9,695,499원(사업잔액 9,651,643원+이자43,856원)
 </t>
    </r>
    <r>
      <rPr>
        <b/>
        <sz val="9"/>
        <rFont val="맑은 고딕"/>
        <family val="3"/>
        <charset val="129"/>
      </rPr>
      <t>(2) 21-22년 코로나방역비 정산 반환</t>
    </r>
    <r>
      <rPr>
        <sz val="9"/>
        <rFont val="맑은 고딕"/>
        <family val="3"/>
        <charset val="129"/>
      </rPr>
      <t xml:space="preserve">(사후발생이자) 1,463원.
</t>
    </r>
    <r>
      <rPr>
        <b/>
        <i/>
        <u/>
        <sz val="9"/>
        <color indexed="12"/>
        <rFont val="맑은 고딕"/>
        <family val="3"/>
        <charset val="129"/>
      </rPr>
      <t>**코로나방역비 통장 이자잔액 반납 요청에 따른 반환금 1,463원을 증액함.</t>
    </r>
    <r>
      <rPr>
        <sz val="9"/>
        <color indexed="12"/>
        <rFont val="맑은 고딕"/>
        <family val="3"/>
        <charset val="129"/>
      </rPr>
      <t xml:space="preserve">
</t>
    </r>
    <phoneticPr fontId="4" type="noConversion"/>
  </si>
  <si>
    <t>&lt;세출부&gt;</t>
    <phoneticPr fontId="3" type="noConversion"/>
  </si>
  <si>
    <t>&lt;세입부&gt;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</si>
</sst>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_ "/>
  </numFmts>
  <fonts count="3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12"/>
      <name val="맑은 고딕"/>
      <family val="3"/>
      <charset val="129"/>
    </font>
    <font>
      <b/>
      <i/>
      <u/>
      <sz val="9"/>
      <color indexed="12"/>
      <name val="맑은 고딕"/>
      <family val="3"/>
      <charset val="129"/>
    </font>
    <font>
      <i/>
      <u/>
      <sz val="9"/>
      <color indexed="12"/>
      <name val="맑은 고딕"/>
      <family val="3"/>
      <charset val="129"/>
    </font>
    <font>
      <sz val="9"/>
      <color indexed="10"/>
      <name val="맑은 고딕"/>
      <family val="3"/>
      <charset val="129"/>
    </font>
    <font>
      <i/>
      <u/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i/>
      <u/>
      <sz val="9"/>
      <name val="맑은 고딕"/>
      <family val="3"/>
      <charset val="129"/>
      <scheme val="minor"/>
    </font>
    <font>
      <b/>
      <i/>
      <u/>
      <sz val="9"/>
      <name val="맑은 고딕"/>
      <family val="3"/>
      <charset val="129"/>
    </font>
    <font>
      <b/>
      <i/>
      <u/>
      <sz val="9"/>
      <color indexed="30"/>
      <name val="맑은 고딕"/>
      <family val="3"/>
      <charset val="129"/>
    </font>
    <font>
      <b/>
      <u/>
      <sz val="9"/>
      <name val="맑은 고딕"/>
      <family val="3"/>
      <charset val="129"/>
    </font>
    <font>
      <i/>
      <u/>
      <sz val="9"/>
      <name val="맑은 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u/>
      <sz val="9"/>
      <name val="맑은 고딕"/>
      <family val="3"/>
      <charset val="129"/>
    </font>
    <font>
      <b/>
      <i/>
      <sz val="9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i/>
      <u/>
      <sz val="9"/>
      <color rgb="FF0000FF"/>
      <name val="맑은 고딕"/>
      <family val="3"/>
      <charset val="129"/>
    </font>
    <font>
      <sz val="9"/>
      <color rgb="FF0000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9" xfId="0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right" vertical="center" wrapText="1"/>
    </xf>
    <xf numFmtId="177" fontId="10" fillId="0" borderId="10" xfId="0" applyNumberFormat="1" applyFont="1" applyBorder="1" applyAlignment="1">
      <alignment horizontal="right" vertical="center" wrapText="1"/>
    </xf>
    <xf numFmtId="177" fontId="10" fillId="0" borderId="12" xfId="0" applyNumberFormat="1" applyFont="1" applyBorder="1" applyAlignment="1">
      <alignment horizontal="right" vertical="center" wrapText="1"/>
    </xf>
    <xf numFmtId="49" fontId="10" fillId="0" borderId="13" xfId="0" applyNumberFormat="1" applyFont="1" applyBorder="1" applyAlignment="1">
      <alignment horizontal="left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7" fontId="10" fillId="0" borderId="14" xfId="0" applyNumberFormat="1" applyFont="1" applyBorder="1" applyAlignment="1">
      <alignment horizontal="right" vertical="center" wrapText="1"/>
    </xf>
    <xf numFmtId="0" fontId="10" fillId="0" borderId="13" xfId="0" applyFont="1" applyBorder="1" applyAlignment="1">
      <alignment horizontal="left" vertical="center" wrapText="1"/>
    </xf>
    <xf numFmtId="177" fontId="10" fillId="0" borderId="16" xfId="0" applyNumberFormat="1" applyFont="1" applyBorder="1" applyAlignment="1">
      <alignment horizontal="right" vertical="center" wrapText="1"/>
    </xf>
    <xf numFmtId="0" fontId="11" fillId="0" borderId="0" xfId="0" applyFont="1">
      <alignment vertical="center"/>
    </xf>
    <xf numFmtId="49" fontId="12" fillId="0" borderId="13" xfId="0" applyNumberFormat="1" applyFont="1" applyBorder="1" applyAlignment="1">
      <alignment horizontal="left" vertical="center" wrapText="1"/>
    </xf>
    <xf numFmtId="176" fontId="7" fillId="2" borderId="13" xfId="0" applyNumberFormat="1" applyFont="1" applyFill="1" applyBorder="1" applyAlignment="1">
      <alignment horizontal="right" vertical="center" wrapText="1"/>
    </xf>
    <xf numFmtId="177" fontId="7" fillId="2" borderId="14" xfId="0" applyNumberFormat="1" applyFont="1" applyFill="1" applyBorder="1" applyAlignment="1">
      <alignment horizontal="right" vertical="center" wrapText="1"/>
    </xf>
    <xf numFmtId="177" fontId="7" fillId="2" borderId="16" xfId="0" applyNumberFormat="1" applyFont="1" applyFill="1" applyBorder="1" applyAlignment="1">
      <alignment horizontal="right" vertical="center" wrapText="1"/>
    </xf>
    <xf numFmtId="176" fontId="7" fillId="0" borderId="13" xfId="0" applyNumberFormat="1" applyFont="1" applyBorder="1" applyAlignment="1">
      <alignment horizontal="right" vertical="center" wrapText="1"/>
    </xf>
    <xf numFmtId="177" fontId="7" fillId="0" borderId="14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right" vertical="center" wrapText="1"/>
    </xf>
    <xf numFmtId="177" fontId="7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vertical="center" wrapText="1"/>
    </xf>
    <xf numFmtId="177" fontId="7" fillId="2" borderId="8" xfId="0" applyNumberFormat="1" applyFont="1" applyFill="1" applyBorder="1" applyAlignment="1">
      <alignment horizontal="right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left" vertical="center" wrapText="1"/>
    </xf>
    <xf numFmtId="49" fontId="10" fillId="0" borderId="39" xfId="0" applyNumberFormat="1" applyFont="1" applyBorder="1" applyAlignment="1">
      <alignment horizontal="left" vertical="center" wrapText="1"/>
    </xf>
    <xf numFmtId="176" fontId="10" fillId="0" borderId="39" xfId="0" applyNumberFormat="1" applyFont="1" applyBorder="1" applyAlignment="1">
      <alignment horizontal="right" vertical="center" wrapText="1"/>
    </xf>
    <xf numFmtId="177" fontId="10" fillId="0" borderId="39" xfId="0" applyNumberFormat="1" applyFont="1" applyBorder="1" applyAlignment="1">
      <alignment horizontal="right" vertical="center" wrapText="1"/>
    </xf>
    <xf numFmtId="49" fontId="10" fillId="0" borderId="40" xfId="0" applyNumberFormat="1" applyFont="1" applyBorder="1" applyAlignment="1">
      <alignment vertical="center" wrapText="1"/>
    </xf>
    <xf numFmtId="49" fontId="10" fillId="0" borderId="43" xfId="0" applyNumberFormat="1" applyFont="1" applyBorder="1" applyAlignment="1">
      <alignment horizontal="left" vertical="center" wrapText="1"/>
    </xf>
    <xf numFmtId="49" fontId="16" fillId="0" borderId="40" xfId="0" applyNumberFormat="1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49" fontId="7" fillId="0" borderId="40" xfId="0" applyNumberFormat="1" applyFont="1" applyBorder="1" applyAlignment="1">
      <alignment vertical="center" wrapText="1"/>
    </xf>
    <xf numFmtId="49" fontId="12" fillId="0" borderId="47" xfId="0" applyNumberFormat="1" applyFont="1" applyBorder="1" applyAlignment="1">
      <alignment horizontal="left" vertical="center" wrapText="1"/>
    </xf>
    <xf numFmtId="176" fontId="7" fillId="0" borderId="38" xfId="0" applyNumberFormat="1" applyFont="1" applyBorder="1" applyAlignment="1">
      <alignment horizontal="right" vertical="center" wrapText="1"/>
    </xf>
    <xf numFmtId="49" fontId="21" fillId="0" borderId="44" xfId="0" applyNumberFormat="1" applyFont="1" applyBorder="1" applyAlignment="1">
      <alignment vertical="center" wrapText="1"/>
    </xf>
    <xf numFmtId="49" fontId="23" fillId="2" borderId="16" xfId="0" applyNumberFormat="1" applyFont="1" applyFill="1" applyBorder="1" applyAlignment="1">
      <alignment vertical="center" wrapText="1"/>
    </xf>
    <xf numFmtId="0" fontId="16" fillId="0" borderId="40" xfId="0" applyFont="1" applyBorder="1" applyAlignment="1">
      <alignment vertical="center" wrapText="1"/>
    </xf>
    <xf numFmtId="49" fontId="10" fillId="0" borderId="38" xfId="0" applyNumberFormat="1" applyFont="1" applyBorder="1" applyAlignment="1">
      <alignment horizontal="left" vertical="center" wrapText="1"/>
    </xf>
    <xf numFmtId="176" fontId="10" fillId="0" borderId="38" xfId="0" applyNumberFormat="1" applyFont="1" applyBorder="1" applyAlignment="1">
      <alignment horizontal="right" vertical="center" wrapText="1"/>
    </xf>
    <xf numFmtId="49" fontId="10" fillId="0" borderId="44" xfId="0" applyNumberFormat="1" applyFont="1" applyBorder="1" applyAlignment="1">
      <alignment vertical="center" wrapText="1"/>
    </xf>
    <xf numFmtId="176" fontId="7" fillId="2" borderId="39" xfId="0" applyNumberFormat="1" applyFont="1" applyFill="1" applyBorder="1" applyAlignment="1">
      <alignment horizontal="right" vertical="center" wrapText="1"/>
    </xf>
    <xf numFmtId="177" fontId="7" fillId="2" borderId="39" xfId="0" applyNumberFormat="1" applyFont="1" applyFill="1" applyBorder="1" applyAlignment="1">
      <alignment horizontal="right" vertical="center" wrapText="1"/>
    </xf>
    <xf numFmtId="49" fontId="7" fillId="2" borderId="16" xfId="0" applyNumberFormat="1" applyFont="1" applyFill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176" fontId="10" fillId="0" borderId="43" xfId="0" applyNumberFormat="1" applyFont="1" applyBorder="1" applyAlignment="1">
      <alignment horizontal="right" vertical="center" wrapText="1"/>
    </xf>
    <xf numFmtId="0" fontId="10" fillId="0" borderId="39" xfId="0" applyFont="1" applyBorder="1" applyAlignment="1">
      <alignment horizontal="left" vertical="center" wrapText="1"/>
    </xf>
    <xf numFmtId="177" fontId="10" fillId="0" borderId="52" xfId="0" applyNumberFormat="1" applyFont="1" applyBorder="1" applyAlignment="1">
      <alignment horizontal="right" vertical="center" wrapText="1"/>
    </xf>
    <xf numFmtId="0" fontId="15" fillId="0" borderId="40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177" fontId="7" fillId="2" borderId="52" xfId="0" applyNumberFormat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56" xfId="0" applyNumberFormat="1" applyFont="1" applyFill="1" applyBorder="1" applyAlignment="1">
      <alignment horizontal="right" vertical="center" wrapText="1"/>
    </xf>
    <xf numFmtId="177" fontId="7" fillId="2" borderId="57" xfId="0" applyNumberFormat="1" applyFont="1" applyFill="1" applyBorder="1" applyAlignment="1">
      <alignment horizontal="right" vertical="center" wrapText="1"/>
    </xf>
    <xf numFmtId="49" fontId="7" fillId="2" borderId="58" xfId="0" applyNumberFormat="1" applyFont="1" applyFill="1" applyBorder="1" applyAlignment="1">
      <alignment vertical="center" wrapText="1"/>
    </xf>
    <xf numFmtId="176" fontId="7" fillId="4" borderId="62" xfId="0" applyNumberFormat="1" applyFont="1" applyFill="1" applyBorder="1" applyAlignment="1">
      <alignment horizontal="right" vertical="center" wrapText="1"/>
    </xf>
    <xf numFmtId="176" fontId="7" fillId="4" borderId="33" xfId="0" applyNumberFormat="1" applyFont="1" applyFill="1" applyBorder="1" applyAlignment="1">
      <alignment horizontal="right" vertical="center" wrapText="1"/>
    </xf>
    <xf numFmtId="177" fontId="7" fillId="4" borderId="62" xfId="0" applyNumberFormat="1" applyFont="1" applyFill="1" applyBorder="1" applyAlignment="1">
      <alignment horizontal="right" vertical="center" wrapText="1"/>
    </xf>
    <xf numFmtId="49" fontId="7" fillId="4" borderId="63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7" fillId="0" borderId="0" xfId="0" applyNumberFormat="1" applyFont="1" applyAlignment="1">
      <alignment horizontal="left" vertical="top" wrapText="1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177" fontId="10" fillId="0" borderId="9" xfId="0" applyNumberFormat="1" applyFont="1" applyBorder="1" applyAlignment="1">
      <alignment horizontal="right" vertical="center" wrapText="1"/>
    </xf>
    <xf numFmtId="49" fontId="16" fillId="0" borderId="12" xfId="0" applyNumberFormat="1" applyFont="1" applyBorder="1" applyAlignment="1">
      <alignment vertical="top" wrapText="1"/>
    </xf>
    <xf numFmtId="49" fontId="16" fillId="0" borderId="16" xfId="0" applyNumberFormat="1" applyFont="1" applyBorder="1" applyAlignment="1">
      <alignment vertical="top" wrapText="1"/>
    </xf>
    <xf numFmtId="0" fontId="16" fillId="0" borderId="16" xfId="0" applyFont="1" applyBorder="1" applyAlignment="1">
      <alignment vertical="top" wrapText="1"/>
    </xf>
    <xf numFmtId="49" fontId="10" fillId="0" borderId="16" xfId="0" applyNumberFormat="1" applyFont="1" applyBorder="1" applyAlignment="1">
      <alignment vertical="top" wrapText="1"/>
    </xf>
    <xf numFmtId="176" fontId="7" fillId="2" borderId="9" xfId="0" applyNumberFormat="1" applyFont="1" applyFill="1" applyBorder="1" applyAlignment="1">
      <alignment horizontal="right" vertical="center" wrapText="1"/>
    </xf>
    <xf numFmtId="177" fontId="7" fillId="2" borderId="9" xfId="0" applyNumberFormat="1" applyFont="1" applyFill="1" applyBorder="1" applyAlignment="1">
      <alignment horizontal="right" vertical="center" wrapText="1"/>
    </xf>
    <xf numFmtId="49" fontId="7" fillId="2" borderId="16" xfId="0" applyNumberFormat="1" applyFont="1" applyFill="1" applyBorder="1" applyAlignment="1">
      <alignment vertical="top" wrapText="1"/>
    </xf>
    <xf numFmtId="0" fontId="7" fillId="2" borderId="16" xfId="0" applyFont="1" applyFill="1" applyBorder="1" applyAlignment="1">
      <alignment vertical="top" wrapText="1"/>
    </xf>
    <xf numFmtId="49" fontId="16" fillId="0" borderId="40" xfId="0" applyNumberFormat="1" applyFont="1" applyBorder="1" applyAlignment="1">
      <alignment vertical="top" wrapText="1"/>
    </xf>
    <xf numFmtId="49" fontId="10" fillId="5" borderId="13" xfId="0" applyNumberFormat="1" applyFont="1" applyFill="1" applyBorder="1" applyAlignment="1">
      <alignment horizontal="left" vertical="center" wrapText="1"/>
    </xf>
    <xf numFmtId="176" fontId="10" fillId="5" borderId="13" xfId="0" applyNumberFormat="1" applyFont="1" applyFill="1" applyBorder="1" applyAlignment="1">
      <alignment horizontal="right" vertical="center" wrapText="1"/>
    </xf>
    <xf numFmtId="49" fontId="10" fillId="5" borderId="16" xfId="0" applyNumberFormat="1" applyFont="1" applyFill="1" applyBorder="1" applyAlignment="1">
      <alignment vertical="top" wrapText="1"/>
    </xf>
    <xf numFmtId="0" fontId="10" fillId="5" borderId="16" xfId="0" applyFont="1" applyFill="1" applyBorder="1" applyAlignment="1">
      <alignment vertical="top" wrapText="1"/>
    </xf>
    <xf numFmtId="0" fontId="28" fillId="0" borderId="65" xfId="0" applyFont="1" applyBorder="1" applyAlignment="1">
      <alignment vertical="top" wrapText="1"/>
    </xf>
    <xf numFmtId="176" fontId="32" fillId="0" borderId="13" xfId="0" applyNumberFormat="1" applyFont="1" applyBorder="1" applyAlignment="1">
      <alignment horizontal="right" vertical="center" wrapText="1"/>
    </xf>
    <xf numFmtId="177" fontId="7" fillId="2" borderId="6" xfId="0" applyNumberFormat="1" applyFont="1" applyFill="1" applyBorder="1" applyAlignment="1">
      <alignment horizontal="right" vertical="center" wrapText="1"/>
    </xf>
    <xf numFmtId="0" fontId="7" fillId="2" borderId="58" xfId="0" applyFont="1" applyFill="1" applyBorder="1" applyAlignment="1">
      <alignment vertical="top" wrapText="1"/>
    </xf>
    <xf numFmtId="176" fontId="7" fillId="4" borderId="67" xfId="0" applyNumberFormat="1" applyFont="1" applyFill="1" applyBorder="1" applyAlignment="1">
      <alignment horizontal="right" vertical="center" wrapText="1"/>
    </xf>
    <xf numFmtId="177" fontId="7" fillId="4" borderId="68" xfId="0" applyNumberFormat="1" applyFont="1" applyFill="1" applyBorder="1" applyAlignment="1">
      <alignment horizontal="right" vertical="center" wrapText="1"/>
    </xf>
    <xf numFmtId="49" fontId="7" fillId="4" borderId="69" xfId="0" applyNumberFormat="1" applyFont="1" applyFill="1" applyBorder="1" applyAlignment="1">
      <alignment vertical="top" wrapText="1"/>
    </xf>
    <xf numFmtId="176" fontId="5" fillId="0" borderId="0" xfId="0" applyNumberFormat="1" applyFont="1">
      <alignment vertical="center"/>
    </xf>
    <xf numFmtId="0" fontId="13" fillId="0" borderId="0" xfId="0" applyFont="1">
      <alignment vertical="center"/>
    </xf>
    <xf numFmtId="0" fontId="33" fillId="0" borderId="0" xfId="0" applyFont="1" applyAlignment="1">
      <alignment horizontal="justify" vertical="top"/>
    </xf>
    <xf numFmtId="41" fontId="1" fillId="0" borderId="0" xfId="1" applyFont="1" applyFill="1">
      <alignment vertical="center"/>
    </xf>
    <xf numFmtId="41" fontId="1" fillId="0" borderId="0" xfId="1" applyFont="1">
      <alignment vertical="center"/>
    </xf>
    <xf numFmtId="0" fontId="34" fillId="0" borderId="0" xfId="0" applyFont="1">
      <alignment vertical="center"/>
    </xf>
    <xf numFmtId="0" fontId="10" fillId="0" borderId="9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10" fillId="0" borderId="50" xfId="0" applyFont="1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0" fillId="0" borderId="38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22" fillId="2" borderId="54" xfId="0" applyFont="1" applyFill="1" applyBorder="1" applyAlignment="1">
      <alignment horizontal="center" vertical="center" wrapText="1"/>
    </xf>
    <xf numFmtId="0" fontId="22" fillId="2" borderId="55" xfId="0" applyFont="1" applyFill="1" applyBorder="1" applyAlignment="1">
      <alignment horizontal="center" vertical="center" wrapText="1"/>
    </xf>
    <xf numFmtId="0" fontId="7" fillId="4" borderId="59" xfId="0" applyFont="1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10" fillId="5" borderId="18" xfId="0" applyFont="1" applyFill="1" applyBorder="1" applyAlignment="1">
      <alignment horizontal="left" vertical="center" wrapText="1"/>
    </xf>
    <xf numFmtId="0" fontId="7" fillId="4" borderId="66" xfId="0" applyFont="1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2">
    <cellStyle name="쉼표 [0] 2" xfId="1" xr:uid="{A3E86BB1-3335-4D32-874B-CB5534F3F43D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72F24-52A1-4A57-9C4F-9CB50CFA5F8D}">
  <dimension ref="A1:T46"/>
  <sheetViews>
    <sheetView tabSelected="1" zoomScale="115" zoomScaleNormal="115" workbookViewId="0">
      <selection activeCell="Q6" sqref="Q6"/>
    </sheetView>
  </sheetViews>
  <sheetFormatPr defaultRowHeight="17.399999999999999"/>
  <cols>
    <col min="1" max="1" width="3.09765625" customWidth="1"/>
    <col min="2" max="2" width="5.5" customWidth="1"/>
    <col min="3" max="5" width="6.69921875" customWidth="1"/>
    <col min="6" max="6" width="5.8984375" customWidth="1"/>
    <col min="7" max="7" width="4.69921875" customWidth="1"/>
    <col min="8" max="8" width="2.5" customWidth="1"/>
    <col min="9" max="9" width="4.19921875" customWidth="1"/>
    <col min="10" max="13" width="6.69921875" customWidth="1"/>
    <col min="14" max="14" width="6.59765625" customWidth="1"/>
    <col min="15" max="15" width="4.69921875" customWidth="1"/>
    <col min="16" max="16" width="9.5" bestFit="1" customWidth="1"/>
    <col min="17" max="17" width="12.09765625" customWidth="1"/>
    <col min="257" max="257" width="3.09765625" customWidth="1"/>
    <col min="258" max="258" width="5.5" customWidth="1"/>
    <col min="259" max="261" width="6.69921875" customWidth="1"/>
    <col min="262" max="262" width="5.8984375" customWidth="1"/>
    <col min="263" max="263" width="4.69921875" customWidth="1"/>
    <col min="264" max="264" width="2.5" customWidth="1"/>
    <col min="265" max="265" width="4.19921875" customWidth="1"/>
    <col min="266" max="269" width="6.69921875" customWidth="1"/>
    <col min="270" max="270" width="6.59765625" customWidth="1"/>
    <col min="271" max="271" width="4.69921875" customWidth="1"/>
    <col min="272" max="272" width="9.5" bestFit="1" customWidth="1"/>
    <col min="273" max="273" width="12.09765625" customWidth="1"/>
    <col min="513" max="513" width="3.09765625" customWidth="1"/>
    <col min="514" max="514" width="5.5" customWidth="1"/>
    <col min="515" max="517" width="6.69921875" customWidth="1"/>
    <col min="518" max="518" width="5.8984375" customWidth="1"/>
    <col min="519" max="519" width="4.69921875" customWidth="1"/>
    <col min="520" max="520" width="2.5" customWidth="1"/>
    <col min="521" max="521" width="4.19921875" customWidth="1"/>
    <col min="522" max="525" width="6.69921875" customWidth="1"/>
    <col min="526" max="526" width="6.59765625" customWidth="1"/>
    <col min="527" max="527" width="4.69921875" customWidth="1"/>
    <col min="528" max="528" width="9.5" bestFit="1" customWidth="1"/>
    <col min="529" max="529" width="12.09765625" customWidth="1"/>
    <col min="769" max="769" width="3.09765625" customWidth="1"/>
    <col min="770" max="770" width="5.5" customWidth="1"/>
    <col min="771" max="773" width="6.69921875" customWidth="1"/>
    <col min="774" max="774" width="5.8984375" customWidth="1"/>
    <col min="775" max="775" width="4.69921875" customWidth="1"/>
    <col min="776" max="776" width="2.5" customWidth="1"/>
    <col min="777" max="777" width="4.19921875" customWidth="1"/>
    <col min="778" max="781" width="6.69921875" customWidth="1"/>
    <col min="782" max="782" width="6.59765625" customWidth="1"/>
    <col min="783" max="783" width="4.69921875" customWidth="1"/>
    <col min="784" max="784" width="9.5" bestFit="1" customWidth="1"/>
    <col min="785" max="785" width="12.09765625" customWidth="1"/>
    <col min="1025" max="1025" width="3.09765625" customWidth="1"/>
    <col min="1026" max="1026" width="5.5" customWidth="1"/>
    <col min="1027" max="1029" width="6.69921875" customWidth="1"/>
    <col min="1030" max="1030" width="5.8984375" customWidth="1"/>
    <col min="1031" max="1031" width="4.69921875" customWidth="1"/>
    <col min="1032" max="1032" width="2.5" customWidth="1"/>
    <col min="1033" max="1033" width="4.19921875" customWidth="1"/>
    <col min="1034" max="1037" width="6.69921875" customWidth="1"/>
    <col min="1038" max="1038" width="6.59765625" customWidth="1"/>
    <col min="1039" max="1039" width="4.69921875" customWidth="1"/>
    <col min="1040" max="1040" width="9.5" bestFit="1" customWidth="1"/>
    <col min="1041" max="1041" width="12.09765625" customWidth="1"/>
    <col min="1281" max="1281" width="3.09765625" customWidth="1"/>
    <col min="1282" max="1282" width="5.5" customWidth="1"/>
    <col min="1283" max="1285" width="6.69921875" customWidth="1"/>
    <col min="1286" max="1286" width="5.8984375" customWidth="1"/>
    <col min="1287" max="1287" width="4.69921875" customWidth="1"/>
    <col min="1288" max="1288" width="2.5" customWidth="1"/>
    <col min="1289" max="1289" width="4.19921875" customWidth="1"/>
    <col min="1290" max="1293" width="6.69921875" customWidth="1"/>
    <col min="1294" max="1294" width="6.59765625" customWidth="1"/>
    <col min="1295" max="1295" width="4.69921875" customWidth="1"/>
    <col min="1296" max="1296" width="9.5" bestFit="1" customWidth="1"/>
    <col min="1297" max="1297" width="12.09765625" customWidth="1"/>
    <col min="1537" max="1537" width="3.09765625" customWidth="1"/>
    <col min="1538" max="1538" width="5.5" customWidth="1"/>
    <col min="1539" max="1541" width="6.69921875" customWidth="1"/>
    <col min="1542" max="1542" width="5.8984375" customWidth="1"/>
    <col min="1543" max="1543" width="4.69921875" customWidth="1"/>
    <col min="1544" max="1544" width="2.5" customWidth="1"/>
    <col min="1545" max="1545" width="4.19921875" customWidth="1"/>
    <col min="1546" max="1549" width="6.69921875" customWidth="1"/>
    <col min="1550" max="1550" width="6.59765625" customWidth="1"/>
    <col min="1551" max="1551" width="4.69921875" customWidth="1"/>
    <col min="1552" max="1552" width="9.5" bestFit="1" customWidth="1"/>
    <col min="1553" max="1553" width="12.09765625" customWidth="1"/>
    <col min="1793" max="1793" width="3.09765625" customWidth="1"/>
    <col min="1794" max="1794" width="5.5" customWidth="1"/>
    <col min="1795" max="1797" width="6.69921875" customWidth="1"/>
    <col min="1798" max="1798" width="5.8984375" customWidth="1"/>
    <col min="1799" max="1799" width="4.69921875" customWidth="1"/>
    <col min="1800" max="1800" width="2.5" customWidth="1"/>
    <col min="1801" max="1801" width="4.19921875" customWidth="1"/>
    <col min="1802" max="1805" width="6.69921875" customWidth="1"/>
    <col min="1806" max="1806" width="6.59765625" customWidth="1"/>
    <col min="1807" max="1807" width="4.69921875" customWidth="1"/>
    <col min="1808" max="1808" width="9.5" bestFit="1" customWidth="1"/>
    <col min="1809" max="1809" width="12.09765625" customWidth="1"/>
    <col min="2049" max="2049" width="3.09765625" customWidth="1"/>
    <col min="2050" max="2050" width="5.5" customWidth="1"/>
    <col min="2051" max="2053" width="6.69921875" customWidth="1"/>
    <col min="2054" max="2054" width="5.8984375" customWidth="1"/>
    <col min="2055" max="2055" width="4.69921875" customWidth="1"/>
    <col min="2056" max="2056" width="2.5" customWidth="1"/>
    <col min="2057" max="2057" width="4.19921875" customWidth="1"/>
    <col min="2058" max="2061" width="6.69921875" customWidth="1"/>
    <col min="2062" max="2062" width="6.59765625" customWidth="1"/>
    <col min="2063" max="2063" width="4.69921875" customWidth="1"/>
    <col min="2064" max="2064" width="9.5" bestFit="1" customWidth="1"/>
    <col min="2065" max="2065" width="12.09765625" customWidth="1"/>
    <col min="2305" max="2305" width="3.09765625" customWidth="1"/>
    <col min="2306" max="2306" width="5.5" customWidth="1"/>
    <col min="2307" max="2309" width="6.69921875" customWidth="1"/>
    <col min="2310" max="2310" width="5.8984375" customWidth="1"/>
    <col min="2311" max="2311" width="4.69921875" customWidth="1"/>
    <col min="2312" max="2312" width="2.5" customWidth="1"/>
    <col min="2313" max="2313" width="4.19921875" customWidth="1"/>
    <col min="2314" max="2317" width="6.69921875" customWidth="1"/>
    <col min="2318" max="2318" width="6.59765625" customWidth="1"/>
    <col min="2319" max="2319" width="4.69921875" customWidth="1"/>
    <col min="2320" max="2320" width="9.5" bestFit="1" customWidth="1"/>
    <col min="2321" max="2321" width="12.09765625" customWidth="1"/>
    <col min="2561" max="2561" width="3.09765625" customWidth="1"/>
    <col min="2562" max="2562" width="5.5" customWidth="1"/>
    <col min="2563" max="2565" width="6.69921875" customWidth="1"/>
    <col min="2566" max="2566" width="5.8984375" customWidth="1"/>
    <col min="2567" max="2567" width="4.69921875" customWidth="1"/>
    <col min="2568" max="2568" width="2.5" customWidth="1"/>
    <col min="2569" max="2569" width="4.19921875" customWidth="1"/>
    <col min="2570" max="2573" width="6.69921875" customWidth="1"/>
    <col min="2574" max="2574" width="6.59765625" customWidth="1"/>
    <col min="2575" max="2575" width="4.69921875" customWidth="1"/>
    <col min="2576" max="2576" width="9.5" bestFit="1" customWidth="1"/>
    <col min="2577" max="2577" width="12.09765625" customWidth="1"/>
    <col min="2817" max="2817" width="3.09765625" customWidth="1"/>
    <col min="2818" max="2818" width="5.5" customWidth="1"/>
    <col min="2819" max="2821" width="6.69921875" customWidth="1"/>
    <col min="2822" max="2822" width="5.8984375" customWidth="1"/>
    <col min="2823" max="2823" width="4.69921875" customWidth="1"/>
    <col min="2824" max="2824" width="2.5" customWidth="1"/>
    <col min="2825" max="2825" width="4.19921875" customWidth="1"/>
    <col min="2826" max="2829" width="6.69921875" customWidth="1"/>
    <col min="2830" max="2830" width="6.59765625" customWidth="1"/>
    <col min="2831" max="2831" width="4.69921875" customWidth="1"/>
    <col min="2832" max="2832" width="9.5" bestFit="1" customWidth="1"/>
    <col min="2833" max="2833" width="12.09765625" customWidth="1"/>
    <col min="3073" max="3073" width="3.09765625" customWidth="1"/>
    <col min="3074" max="3074" width="5.5" customWidth="1"/>
    <col min="3075" max="3077" width="6.69921875" customWidth="1"/>
    <col min="3078" max="3078" width="5.8984375" customWidth="1"/>
    <col min="3079" max="3079" width="4.69921875" customWidth="1"/>
    <col min="3080" max="3080" width="2.5" customWidth="1"/>
    <col min="3081" max="3081" width="4.19921875" customWidth="1"/>
    <col min="3082" max="3085" width="6.69921875" customWidth="1"/>
    <col min="3086" max="3086" width="6.59765625" customWidth="1"/>
    <col min="3087" max="3087" width="4.69921875" customWidth="1"/>
    <col min="3088" max="3088" width="9.5" bestFit="1" customWidth="1"/>
    <col min="3089" max="3089" width="12.09765625" customWidth="1"/>
    <col min="3329" max="3329" width="3.09765625" customWidth="1"/>
    <col min="3330" max="3330" width="5.5" customWidth="1"/>
    <col min="3331" max="3333" width="6.69921875" customWidth="1"/>
    <col min="3334" max="3334" width="5.8984375" customWidth="1"/>
    <col min="3335" max="3335" width="4.69921875" customWidth="1"/>
    <col min="3336" max="3336" width="2.5" customWidth="1"/>
    <col min="3337" max="3337" width="4.19921875" customWidth="1"/>
    <col min="3338" max="3341" width="6.69921875" customWidth="1"/>
    <col min="3342" max="3342" width="6.59765625" customWidth="1"/>
    <col min="3343" max="3343" width="4.69921875" customWidth="1"/>
    <col min="3344" max="3344" width="9.5" bestFit="1" customWidth="1"/>
    <col min="3345" max="3345" width="12.09765625" customWidth="1"/>
    <col min="3585" max="3585" width="3.09765625" customWidth="1"/>
    <col min="3586" max="3586" width="5.5" customWidth="1"/>
    <col min="3587" max="3589" width="6.69921875" customWidth="1"/>
    <col min="3590" max="3590" width="5.8984375" customWidth="1"/>
    <col min="3591" max="3591" width="4.69921875" customWidth="1"/>
    <col min="3592" max="3592" width="2.5" customWidth="1"/>
    <col min="3593" max="3593" width="4.19921875" customWidth="1"/>
    <col min="3594" max="3597" width="6.69921875" customWidth="1"/>
    <col min="3598" max="3598" width="6.59765625" customWidth="1"/>
    <col min="3599" max="3599" width="4.69921875" customWidth="1"/>
    <col min="3600" max="3600" width="9.5" bestFit="1" customWidth="1"/>
    <col min="3601" max="3601" width="12.09765625" customWidth="1"/>
    <col min="3841" max="3841" width="3.09765625" customWidth="1"/>
    <col min="3842" max="3842" width="5.5" customWidth="1"/>
    <col min="3843" max="3845" width="6.69921875" customWidth="1"/>
    <col min="3846" max="3846" width="5.8984375" customWidth="1"/>
    <col min="3847" max="3847" width="4.69921875" customWidth="1"/>
    <col min="3848" max="3848" width="2.5" customWidth="1"/>
    <col min="3849" max="3849" width="4.19921875" customWidth="1"/>
    <col min="3850" max="3853" width="6.69921875" customWidth="1"/>
    <col min="3854" max="3854" width="6.59765625" customWidth="1"/>
    <col min="3855" max="3855" width="4.69921875" customWidth="1"/>
    <col min="3856" max="3856" width="9.5" bestFit="1" customWidth="1"/>
    <col min="3857" max="3857" width="12.09765625" customWidth="1"/>
    <col min="4097" max="4097" width="3.09765625" customWidth="1"/>
    <col min="4098" max="4098" width="5.5" customWidth="1"/>
    <col min="4099" max="4101" width="6.69921875" customWidth="1"/>
    <col min="4102" max="4102" width="5.8984375" customWidth="1"/>
    <col min="4103" max="4103" width="4.69921875" customWidth="1"/>
    <col min="4104" max="4104" width="2.5" customWidth="1"/>
    <col min="4105" max="4105" width="4.19921875" customWidth="1"/>
    <col min="4106" max="4109" width="6.69921875" customWidth="1"/>
    <col min="4110" max="4110" width="6.59765625" customWidth="1"/>
    <col min="4111" max="4111" width="4.69921875" customWidth="1"/>
    <col min="4112" max="4112" width="9.5" bestFit="1" customWidth="1"/>
    <col min="4113" max="4113" width="12.09765625" customWidth="1"/>
    <col min="4353" max="4353" width="3.09765625" customWidth="1"/>
    <col min="4354" max="4354" width="5.5" customWidth="1"/>
    <col min="4355" max="4357" width="6.69921875" customWidth="1"/>
    <col min="4358" max="4358" width="5.8984375" customWidth="1"/>
    <col min="4359" max="4359" width="4.69921875" customWidth="1"/>
    <col min="4360" max="4360" width="2.5" customWidth="1"/>
    <col min="4361" max="4361" width="4.19921875" customWidth="1"/>
    <col min="4362" max="4365" width="6.69921875" customWidth="1"/>
    <col min="4366" max="4366" width="6.59765625" customWidth="1"/>
    <col min="4367" max="4367" width="4.69921875" customWidth="1"/>
    <col min="4368" max="4368" width="9.5" bestFit="1" customWidth="1"/>
    <col min="4369" max="4369" width="12.09765625" customWidth="1"/>
    <col min="4609" max="4609" width="3.09765625" customWidth="1"/>
    <col min="4610" max="4610" width="5.5" customWidth="1"/>
    <col min="4611" max="4613" width="6.69921875" customWidth="1"/>
    <col min="4614" max="4614" width="5.8984375" customWidth="1"/>
    <col min="4615" max="4615" width="4.69921875" customWidth="1"/>
    <col min="4616" max="4616" width="2.5" customWidth="1"/>
    <col min="4617" max="4617" width="4.19921875" customWidth="1"/>
    <col min="4618" max="4621" width="6.69921875" customWidth="1"/>
    <col min="4622" max="4622" width="6.59765625" customWidth="1"/>
    <col min="4623" max="4623" width="4.69921875" customWidth="1"/>
    <col min="4624" max="4624" width="9.5" bestFit="1" customWidth="1"/>
    <col min="4625" max="4625" width="12.09765625" customWidth="1"/>
    <col min="4865" max="4865" width="3.09765625" customWidth="1"/>
    <col min="4866" max="4866" width="5.5" customWidth="1"/>
    <col min="4867" max="4869" width="6.69921875" customWidth="1"/>
    <col min="4870" max="4870" width="5.8984375" customWidth="1"/>
    <col min="4871" max="4871" width="4.69921875" customWidth="1"/>
    <col min="4872" max="4872" width="2.5" customWidth="1"/>
    <col min="4873" max="4873" width="4.19921875" customWidth="1"/>
    <col min="4874" max="4877" width="6.69921875" customWidth="1"/>
    <col min="4878" max="4878" width="6.59765625" customWidth="1"/>
    <col min="4879" max="4879" width="4.69921875" customWidth="1"/>
    <col min="4880" max="4880" width="9.5" bestFit="1" customWidth="1"/>
    <col min="4881" max="4881" width="12.09765625" customWidth="1"/>
    <col min="5121" max="5121" width="3.09765625" customWidth="1"/>
    <col min="5122" max="5122" width="5.5" customWidth="1"/>
    <col min="5123" max="5125" width="6.69921875" customWidth="1"/>
    <col min="5126" max="5126" width="5.8984375" customWidth="1"/>
    <col min="5127" max="5127" width="4.69921875" customWidth="1"/>
    <col min="5128" max="5128" width="2.5" customWidth="1"/>
    <col min="5129" max="5129" width="4.19921875" customWidth="1"/>
    <col min="5130" max="5133" width="6.69921875" customWidth="1"/>
    <col min="5134" max="5134" width="6.59765625" customWidth="1"/>
    <col min="5135" max="5135" width="4.69921875" customWidth="1"/>
    <col min="5136" max="5136" width="9.5" bestFit="1" customWidth="1"/>
    <col min="5137" max="5137" width="12.09765625" customWidth="1"/>
    <col min="5377" max="5377" width="3.09765625" customWidth="1"/>
    <col min="5378" max="5378" width="5.5" customWidth="1"/>
    <col min="5379" max="5381" width="6.69921875" customWidth="1"/>
    <col min="5382" max="5382" width="5.8984375" customWidth="1"/>
    <col min="5383" max="5383" width="4.69921875" customWidth="1"/>
    <col min="5384" max="5384" width="2.5" customWidth="1"/>
    <col min="5385" max="5385" width="4.19921875" customWidth="1"/>
    <col min="5386" max="5389" width="6.69921875" customWidth="1"/>
    <col min="5390" max="5390" width="6.59765625" customWidth="1"/>
    <col min="5391" max="5391" width="4.69921875" customWidth="1"/>
    <col min="5392" max="5392" width="9.5" bestFit="1" customWidth="1"/>
    <col min="5393" max="5393" width="12.09765625" customWidth="1"/>
    <col min="5633" max="5633" width="3.09765625" customWidth="1"/>
    <col min="5634" max="5634" width="5.5" customWidth="1"/>
    <col min="5635" max="5637" width="6.69921875" customWidth="1"/>
    <col min="5638" max="5638" width="5.8984375" customWidth="1"/>
    <col min="5639" max="5639" width="4.69921875" customWidth="1"/>
    <col min="5640" max="5640" width="2.5" customWidth="1"/>
    <col min="5641" max="5641" width="4.19921875" customWidth="1"/>
    <col min="5642" max="5645" width="6.69921875" customWidth="1"/>
    <col min="5646" max="5646" width="6.59765625" customWidth="1"/>
    <col min="5647" max="5647" width="4.69921875" customWidth="1"/>
    <col min="5648" max="5648" width="9.5" bestFit="1" customWidth="1"/>
    <col min="5649" max="5649" width="12.09765625" customWidth="1"/>
    <col min="5889" max="5889" width="3.09765625" customWidth="1"/>
    <col min="5890" max="5890" width="5.5" customWidth="1"/>
    <col min="5891" max="5893" width="6.69921875" customWidth="1"/>
    <col min="5894" max="5894" width="5.8984375" customWidth="1"/>
    <col min="5895" max="5895" width="4.69921875" customWidth="1"/>
    <col min="5896" max="5896" width="2.5" customWidth="1"/>
    <col min="5897" max="5897" width="4.19921875" customWidth="1"/>
    <col min="5898" max="5901" width="6.69921875" customWidth="1"/>
    <col min="5902" max="5902" width="6.59765625" customWidth="1"/>
    <col min="5903" max="5903" width="4.69921875" customWidth="1"/>
    <col min="5904" max="5904" width="9.5" bestFit="1" customWidth="1"/>
    <col min="5905" max="5905" width="12.09765625" customWidth="1"/>
    <col min="6145" max="6145" width="3.09765625" customWidth="1"/>
    <col min="6146" max="6146" width="5.5" customWidth="1"/>
    <col min="6147" max="6149" width="6.69921875" customWidth="1"/>
    <col min="6150" max="6150" width="5.8984375" customWidth="1"/>
    <col min="6151" max="6151" width="4.69921875" customWidth="1"/>
    <col min="6152" max="6152" width="2.5" customWidth="1"/>
    <col min="6153" max="6153" width="4.19921875" customWidth="1"/>
    <col min="6154" max="6157" width="6.69921875" customWidth="1"/>
    <col min="6158" max="6158" width="6.59765625" customWidth="1"/>
    <col min="6159" max="6159" width="4.69921875" customWidth="1"/>
    <col min="6160" max="6160" width="9.5" bestFit="1" customWidth="1"/>
    <col min="6161" max="6161" width="12.09765625" customWidth="1"/>
    <col min="6401" max="6401" width="3.09765625" customWidth="1"/>
    <col min="6402" max="6402" width="5.5" customWidth="1"/>
    <col min="6403" max="6405" width="6.69921875" customWidth="1"/>
    <col min="6406" max="6406" width="5.8984375" customWidth="1"/>
    <col min="6407" max="6407" width="4.69921875" customWidth="1"/>
    <col min="6408" max="6408" width="2.5" customWidth="1"/>
    <col min="6409" max="6409" width="4.19921875" customWidth="1"/>
    <col min="6410" max="6413" width="6.69921875" customWidth="1"/>
    <col min="6414" max="6414" width="6.59765625" customWidth="1"/>
    <col min="6415" max="6415" width="4.69921875" customWidth="1"/>
    <col min="6416" max="6416" width="9.5" bestFit="1" customWidth="1"/>
    <col min="6417" max="6417" width="12.09765625" customWidth="1"/>
    <col min="6657" max="6657" width="3.09765625" customWidth="1"/>
    <col min="6658" max="6658" width="5.5" customWidth="1"/>
    <col min="6659" max="6661" width="6.69921875" customWidth="1"/>
    <col min="6662" max="6662" width="5.8984375" customWidth="1"/>
    <col min="6663" max="6663" width="4.69921875" customWidth="1"/>
    <col min="6664" max="6664" width="2.5" customWidth="1"/>
    <col min="6665" max="6665" width="4.19921875" customWidth="1"/>
    <col min="6666" max="6669" width="6.69921875" customWidth="1"/>
    <col min="6670" max="6670" width="6.59765625" customWidth="1"/>
    <col min="6671" max="6671" width="4.69921875" customWidth="1"/>
    <col min="6672" max="6672" width="9.5" bestFit="1" customWidth="1"/>
    <col min="6673" max="6673" width="12.09765625" customWidth="1"/>
    <col min="6913" max="6913" width="3.09765625" customWidth="1"/>
    <col min="6914" max="6914" width="5.5" customWidth="1"/>
    <col min="6915" max="6917" width="6.69921875" customWidth="1"/>
    <col min="6918" max="6918" width="5.8984375" customWidth="1"/>
    <col min="6919" max="6919" width="4.69921875" customWidth="1"/>
    <col min="6920" max="6920" width="2.5" customWidth="1"/>
    <col min="6921" max="6921" width="4.19921875" customWidth="1"/>
    <col min="6922" max="6925" width="6.69921875" customWidth="1"/>
    <col min="6926" max="6926" width="6.59765625" customWidth="1"/>
    <col min="6927" max="6927" width="4.69921875" customWidth="1"/>
    <col min="6928" max="6928" width="9.5" bestFit="1" customWidth="1"/>
    <col min="6929" max="6929" width="12.09765625" customWidth="1"/>
    <col min="7169" max="7169" width="3.09765625" customWidth="1"/>
    <col min="7170" max="7170" width="5.5" customWidth="1"/>
    <col min="7171" max="7173" width="6.69921875" customWidth="1"/>
    <col min="7174" max="7174" width="5.8984375" customWidth="1"/>
    <col min="7175" max="7175" width="4.69921875" customWidth="1"/>
    <col min="7176" max="7176" width="2.5" customWidth="1"/>
    <col min="7177" max="7177" width="4.19921875" customWidth="1"/>
    <col min="7178" max="7181" width="6.69921875" customWidth="1"/>
    <col min="7182" max="7182" width="6.59765625" customWidth="1"/>
    <col min="7183" max="7183" width="4.69921875" customWidth="1"/>
    <col min="7184" max="7184" width="9.5" bestFit="1" customWidth="1"/>
    <col min="7185" max="7185" width="12.09765625" customWidth="1"/>
    <col min="7425" max="7425" width="3.09765625" customWidth="1"/>
    <col min="7426" max="7426" width="5.5" customWidth="1"/>
    <col min="7427" max="7429" width="6.69921875" customWidth="1"/>
    <col min="7430" max="7430" width="5.8984375" customWidth="1"/>
    <col min="7431" max="7431" width="4.69921875" customWidth="1"/>
    <col min="7432" max="7432" width="2.5" customWidth="1"/>
    <col min="7433" max="7433" width="4.19921875" customWidth="1"/>
    <col min="7434" max="7437" width="6.69921875" customWidth="1"/>
    <col min="7438" max="7438" width="6.59765625" customWidth="1"/>
    <col min="7439" max="7439" width="4.69921875" customWidth="1"/>
    <col min="7440" max="7440" width="9.5" bestFit="1" customWidth="1"/>
    <col min="7441" max="7441" width="12.09765625" customWidth="1"/>
    <col min="7681" max="7681" width="3.09765625" customWidth="1"/>
    <col min="7682" max="7682" width="5.5" customWidth="1"/>
    <col min="7683" max="7685" width="6.69921875" customWidth="1"/>
    <col min="7686" max="7686" width="5.8984375" customWidth="1"/>
    <col min="7687" max="7687" width="4.69921875" customWidth="1"/>
    <col min="7688" max="7688" width="2.5" customWidth="1"/>
    <col min="7689" max="7689" width="4.19921875" customWidth="1"/>
    <col min="7690" max="7693" width="6.69921875" customWidth="1"/>
    <col min="7694" max="7694" width="6.59765625" customWidth="1"/>
    <col min="7695" max="7695" width="4.69921875" customWidth="1"/>
    <col min="7696" max="7696" width="9.5" bestFit="1" customWidth="1"/>
    <col min="7697" max="7697" width="12.09765625" customWidth="1"/>
    <col min="7937" max="7937" width="3.09765625" customWidth="1"/>
    <col min="7938" max="7938" width="5.5" customWidth="1"/>
    <col min="7939" max="7941" width="6.69921875" customWidth="1"/>
    <col min="7942" max="7942" width="5.8984375" customWidth="1"/>
    <col min="7943" max="7943" width="4.69921875" customWidth="1"/>
    <col min="7944" max="7944" width="2.5" customWidth="1"/>
    <col min="7945" max="7945" width="4.19921875" customWidth="1"/>
    <col min="7946" max="7949" width="6.69921875" customWidth="1"/>
    <col min="7950" max="7950" width="6.59765625" customWidth="1"/>
    <col min="7951" max="7951" width="4.69921875" customWidth="1"/>
    <col min="7952" max="7952" width="9.5" bestFit="1" customWidth="1"/>
    <col min="7953" max="7953" width="12.09765625" customWidth="1"/>
    <col min="8193" max="8193" width="3.09765625" customWidth="1"/>
    <col min="8194" max="8194" width="5.5" customWidth="1"/>
    <col min="8195" max="8197" width="6.69921875" customWidth="1"/>
    <col min="8198" max="8198" width="5.8984375" customWidth="1"/>
    <col min="8199" max="8199" width="4.69921875" customWidth="1"/>
    <col min="8200" max="8200" width="2.5" customWidth="1"/>
    <col min="8201" max="8201" width="4.19921875" customWidth="1"/>
    <col min="8202" max="8205" width="6.69921875" customWidth="1"/>
    <col min="8206" max="8206" width="6.59765625" customWidth="1"/>
    <col min="8207" max="8207" width="4.69921875" customWidth="1"/>
    <col min="8208" max="8208" width="9.5" bestFit="1" customWidth="1"/>
    <col min="8209" max="8209" width="12.09765625" customWidth="1"/>
    <col min="8449" max="8449" width="3.09765625" customWidth="1"/>
    <col min="8450" max="8450" width="5.5" customWidth="1"/>
    <col min="8451" max="8453" width="6.69921875" customWidth="1"/>
    <col min="8454" max="8454" width="5.8984375" customWidth="1"/>
    <col min="8455" max="8455" width="4.69921875" customWidth="1"/>
    <col min="8456" max="8456" width="2.5" customWidth="1"/>
    <col min="8457" max="8457" width="4.19921875" customWidth="1"/>
    <col min="8458" max="8461" width="6.69921875" customWidth="1"/>
    <col min="8462" max="8462" width="6.59765625" customWidth="1"/>
    <col min="8463" max="8463" width="4.69921875" customWidth="1"/>
    <col min="8464" max="8464" width="9.5" bestFit="1" customWidth="1"/>
    <col min="8465" max="8465" width="12.09765625" customWidth="1"/>
    <col min="8705" max="8705" width="3.09765625" customWidth="1"/>
    <col min="8706" max="8706" width="5.5" customWidth="1"/>
    <col min="8707" max="8709" width="6.69921875" customWidth="1"/>
    <col min="8710" max="8710" width="5.8984375" customWidth="1"/>
    <col min="8711" max="8711" width="4.69921875" customWidth="1"/>
    <col min="8712" max="8712" width="2.5" customWidth="1"/>
    <col min="8713" max="8713" width="4.19921875" customWidth="1"/>
    <col min="8714" max="8717" width="6.69921875" customWidth="1"/>
    <col min="8718" max="8718" width="6.59765625" customWidth="1"/>
    <col min="8719" max="8719" width="4.69921875" customWidth="1"/>
    <col min="8720" max="8720" width="9.5" bestFit="1" customWidth="1"/>
    <col min="8721" max="8721" width="12.09765625" customWidth="1"/>
    <col min="8961" max="8961" width="3.09765625" customWidth="1"/>
    <col min="8962" max="8962" width="5.5" customWidth="1"/>
    <col min="8963" max="8965" width="6.69921875" customWidth="1"/>
    <col min="8966" max="8966" width="5.8984375" customWidth="1"/>
    <col min="8967" max="8967" width="4.69921875" customWidth="1"/>
    <col min="8968" max="8968" width="2.5" customWidth="1"/>
    <col min="8969" max="8969" width="4.19921875" customWidth="1"/>
    <col min="8970" max="8973" width="6.69921875" customWidth="1"/>
    <col min="8974" max="8974" width="6.59765625" customWidth="1"/>
    <col min="8975" max="8975" width="4.69921875" customWidth="1"/>
    <col min="8976" max="8976" width="9.5" bestFit="1" customWidth="1"/>
    <col min="8977" max="8977" width="12.09765625" customWidth="1"/>
    <col min="9217" max="9217" width="3.09765625" customWidth="1"/>
    <col min="9218" max="9218" width="5.5" customWidth="1"/>
    <col min="9219" max="9221" width="6.69921875" customWidth="1"/>
    <col min="9222" max="9222" width="5.8984375" customWidth="1"/>
    <col min="9223" max="9223" width="4.69921875" customWidth="1"/>
    <col min="9224" max="9224" width="2.5" customWidth="1"/>
    <col min="9225" max="9225" width="4.19921875" customWidth="1"/>
    <col min="9226" max="9229" width="6.69921875" customWidth="1"/>
    <col min="9230" max="9230" width="6.59765625" customWidth="1"/>
    <col min="9231" max="9231" width="4.69921875" customWidth="1"/>
    <col min="9232" max="9232" width="9.5" bestFit="1" customWidth="1"/>
    <col min="9233" max="9233" width="12.09765625" customWidth="1"/>
    <col min="9473" max="9473" width="3.09765625" customWidth="1"/>
    <col min="9474" max="9474" width="5.5" customWidth="1"/>
    <col min="9475" max="9477" width="6.69921875" customWidth="1"/>
    <col min="9478" max="9478" width="5.8984375" customWidth="1"/>
    <col min="9479" max="9479" width="4.69921875" customWidth="1"/>
    <col min="9480" max="9480" width="2.5" customWidth="1"/>
    <col min="9481" max="9481" width="4.19921875" customWidth="1"/>
    <col min="9482" max="9485" width="6.69921875" customWidth="1"/>
    <col min="9486" max="9486" width="6.59765625" customWidth="1"/>
    <col min="9487" max="9487" width="4.69921875" customWidth="1"/>
    <col min="9488" max="9488" width="9.5" bestFit="1" customWidth="1"/>
    <col min="9489" max="9489" width="12.09765625" customWidth="1"/>
    <col min="9729" max="9729" width="3.09765625" customWidth="1"/>
    <col min="9730" max="9730" width="5.5" customWidth="1"/>
    <col min="9731" max="9733" width="6.69921875" customWidth="1"/>
    <col min="9734" max="9734" width="5.8984375" customWidth="1"/>
    <col min="9735" max="9735" width="4.69921875" customWidth="1"/>
    <col min="9736" max="9736" width="2.5" customWidth="1"/>
    <col min="9737" max="9737" width="4.19921875" customWidth="1"/>
    <col min="9738" max="9741" width="6.69921875" customWidth="1"/>
    <col min="9742" max="9742" width="6.59765625" customWidth="1"/>
    <col min="9743" max="9743" width="4.69921875" customWidth="1"/>
    <col min="9744" max="9744" width="9.5" bestFit="1" customWidth="1"/>
    <col min="9745" max="9745" width="12.09765625" customWidth="1"/>
    <col min="9985" max="9985" width="3.09765625" customWidth="1"/>
    <col min="9986" max="9986" width="5.5" customWidth="1"/>
    <col min="9987" max="9989" width="6.69921875" customWidth="1"/>
    <col min="9990" max="9990" width="5.8984375" customWidth="1"/>
    <col min="9991" max="9991" width="4.69921875" customWidth="1"/>
    <col min="9992" max="9992" width="2.5" customWidth="1"/>
    <col min="9993" max="9993" width="4.19921875" customWidth="1"/>
    <col min="9994" max="9997" width="6.69921875" customWidth="1"/>
    <col min="9998" max="9998" width="6.59765625" customWidth="1"/>
    <col min="9999" max="9999" width="4.69921875" customWidth="1"/>
    <col min="10000" max="10000" width="9.5" bestFit="1" customWidth="1"/>
    <col min="10001" max="10001" width="12.09765625" customWidth="1"/>
    <col min="10241" max="10241" width="3.09765625" customWidth="1"/>
    <col min="10242" max="10242" width="5.5" customWidth="1"/>
    <col min="10243" max="10245" width="6.69921875" customWidth="1"/>
    <col min="10246" max="10246" width="5.8984375" customWidth="1"/>
    <col min="10247" max="10247" width="4.69921875" customWidth="1"/>
    <col min="10248" max="10248" width="2.5" customWidth="1"/>
    <col min="10249" max="10249" width="4.19921875" customWidth="1"/>
    <col min="10250" max="10253" width="6.69921875" customWidth="1"/>
    <col min="10254" max="10254" width="6.59765625" customWidth="1"/>
    <col min="10255" max="10255" width="4.69921875" customWidth="1"/>
    <col min="10256" max="10256" width="9.5" bestFit="1" customWidth="1"/>
    <col min="10257" max="10257" width="12.09765625" customWidth="1"/>
    <col min="10497" max="10497" width="3.09765625" customWidth="1"/>
    <col min="10498" max="10498" width="5.5" customWidth="1"/>
    <col min="10499" max="10501" width="6.69921875" customWidth="1"/>
    <col min="10502" max="10502" width="5.8984375" customWidth="1"/>
    <col min="10503" max="10503" width="4.69921875" customWidth="1"/>
    <col min="10504" max="10504" width="2.5" customWidth="1"/>
    <col min="10505" max="10505" width="4.19921875" customWidth="1"/>
    <col min="10506" max="10509" width="6.69921875" customWidth="1"/>
    <col min="10510" max="10510" width="6.59765625" customWidth="1"/>
    <col min="10511" max="10511" width="4.69921875" customWidth="1"/>
    <col min="10512" max="10512" width="9.5" bestFit="1" customWidth="1"/>
    <col min="10513" max="10513" width="12.09765625" customWidth="1"/>
    <col min="10753" max="10753" width="3.09765625" customWidth="1"/>
    <col min="10754" max="10754" width="5.5" customWidth="1"/>
    <col min="10755" max="10757" width="6.69921875" customWidth="1"/>
    <col min="10758" max="10758" width="5.8984375" customWidth="1"/>
    <col min="10759" max="10759" width="4.69921875" customWidth="1"/>
    <col min="10760" max="10760" width="2.5" customWidth="1"/>
    <col min="10761" max="10761" width="4.19921875" customWidth="1"/>
    <col min="10762" max="10765" width="6.69921875" customWidth="1"/>
    <col min="10766" max="10766" width="6.59765625" customWidth="1"/>
    <col min="10767" max="10767" width="4.69921875" customWidth="1"/>
    <col min="10768" max="10768" width="9.5" bestFit="1" customWidth="1"/>
    <col min="10769" max="10769" width="12.09765625" customWidth="1"/>
    <col min="11009" max="11009" width="3.09765625" customWidth="1"/>
    <col min="11010" max="11010" width="5.5" customWidth="1"/>
    <col min="11011" max="11013" width="6.69921875" customWidth="1"/>
    <col min="11014" max="11014" width="5.8984375" customWidth="1"/>
    <col min="11015" max="11015" width="4.69921875" customWidth="1"/>
    <col min="11016" max="11016" width="2.5" customWidth="1"/>
    <col min="11017" max="11017" width="4.19921875" customWidth="1"/>
    <col min="11018" max="11021" width="6.69921875" customWidth="1"/>
    <col min="11022" max="11022" width="6.59765625" customWidth="1"/>
    <col min="11023" max="11023" width="4.69921875" customWidth="1"/>
    <col min="11024" max="11024" width="9.5" bestFit="1" customWidth="1"/>
    <col min="11025" max="11025" width="12.09765625" customWidth="1"/>
    <col min="11265" max="11265" width="3.09765625" customWidth="1"/>
    <col min="11266" max="11266" width="5.5" customWidth="1"/>
    <col min="11267" max="11269" width="6.69921875" customWidth="1"/>
    <col min="11270" max="11270" width="5.8984375" customWidth="1"/>
    <col min="11271" max="11271" width="4.69921875" customWidth="1"/>
    <col min="11272" max="11272" width="2.5" customWidth="1"/>
    <col min="11273" max="11273" width="4.19921875" customWidth="1"/>
    <col min="11274" max="11277" width="6.69921875" customWidth="1"/>
    <col min="11278" max="11278" width="6.59765625" customWidth="1"/>
    <col min="11279" max="11279" width="4.69921875" customWidth="1"/>
    <col min="11280" max="11280" width="9.5" bestFit="1" customWidth="1"/>
    <col min="11281" max="11281" width="12.09765625" customWidth="1"/>
    <col min="11521" max="11521" width="3.09765625" customWidth="1"/>
    <col min="11522" max="11522" width="5.5" customWidth="1"/>
    <col min="11523" max="11525" width="6.69921875" customWidth="1"/>
    <col min="11526" max="11526" width="5.8984375" customWidth="1"/>
    <col min="11527" max="11527" width="4.69921875" customWidth="1"/>
    <col min="11528" max="11528" width="2.5" customWidth="1"/>
    <col min="11529" max="11529" width="4.19921875" customWidth="1"/>
    <col min="11530" max="11533" width="6.69921875" customWidth="1"/>
    <col min="11534" max="11534" width="6.59765625" customWidth="1"/>
    <col min="11535" max="11535" width="4.69921875" customWidth="1"/>
    <col min="11536" max="11536" width="9.5" bestFit="1" customWidth="1"/>
    <col min="11537" max="11537" width="12.09765625" customWidth="1"/>
    <col min="11777" max="11777" width="3.09765625" customWidth="1"/>
    <col min="11778" max="11778" width="5.5" customWidth="1"/>
    <col min="11779" max="11781" width="6.69921875" customWidth="1"/>
    <col min="11782" max="11782" width="5.8984375" customWidth="1"/>
    <col min="11783" max="11783" width="4.69921875" customWidth="1"/>
    <col min="11784" max="11784" width="2.5" customWidth="1"/>
    <col min="11785" max="11785" width="4.19921875" customWidth="1"/>
    <col min="11786" max="11789" width="6.69921875" customWidth="1"/>
    <col min="11790" max="11790" width="6.59765625" customWidth="1"/>
    <col min="11791" max="11791" width="4.69921875" customWidth="1"/>
    <col min="11792" max="11792" width="9.5" bestFit="1" customWidth="1"/>
    <col min="11793" max="11793" width="12.09765625" customWidth="1"/>
    <col min="12033" max="12033" width="3.09765625" customWidth="1"/>
    <col min="12034" max="12034" width="5.5" customWidth="1"/>
    <col min="12035" max="12037" width="6.69921875" customWidth="1"/>
    <col min="12038" max="12038" width="5.8984375" customWidth="1"/>
    <col min="12039" max="12039" width="4.69921875" customWidth="1"/>
    <col min="12040" max="12040" width="2.5" customWidth="1"/>
    <col min="12041" max="12041" width="4.19921875" customWidth="1"/>
    <col min="12042" max="12045" width="6.69921875" customWidth="1"/>
    <col min="12046" max="12046" width="6.59765625" customWidth="1"/>
    <col min="12047" max="12047" width="4.69921875" customWidth="1"/>
    <col min="12048" max="12048" width="9.5" bestFit="1" customWidth="1"/>
    <col min="12049" max="12049" width="12.09765625" customWidth="1"/>
    <col min="12289" max="12289" width="3.09765625" customWidth="1"/>
    <col min="12290" max="12290" width="5.5" customWidth="1"/>
    <col min="12291" max="12293" width="6.69921875" customWidth="1"/>
    <col min="12294" max="12294" width="5.8984375" customWidth="1"/>
    <col min="12295" max="12295" width="4.69921875" customWidth="1"/>
    <col min="12296" max="12296" width="2.5" customWidth="1"/>
    <col min="12297" max="12297" width="4.19921875" customWidth="1"/>
    <col min="12298" max="12301" width="6.69921875" customWidth="1"/>
    <col min="12302" max="12302" width="6.59765625" customWidth="1"/>
    <col min="12303" max="12303" width="4.69921875" customWidth="1"/>
    <col min="12304" max="12304" width="9.5" bestFit="1" customWidth="1"/>
    <col min="12305" max="12305" width="12.09765625" customWidth="1"/>
    <col min="12545" max="12545" width="3.09765625" customWidth="1"/>
    <col min="12546" max="12546" width="5.5" customWidth="1"/>
    <col min="12547" max="12549" width="6.69921875" customWidth="1"/>
    <col min="12550" max="12550" width="5.8984375" customWidth="1"/>
    <col min="12551" max="12551" width="4.69921875" customWidth="1"/>
    <col min="12552" max="12552" width="2.5" customWidth="1"/>
    <col min="12553" max="12553" width="4.19921875" customWidth="1"/>
    <col min="12554" max="12557" width="6.69921875" customWidth="1"/>
    <col min="12558" max="12558" width="6.59765625" customWidth="1"/>
    <col min="12559" max="12559" width="4.69921875" customWidth="1"/>
    <col min="12560" max="12560" width="9.5" bestFit="1" customWidth="1"/>
    <col min="12561" max="12561" width="12.09765625" customWidth="1"/>
    <col min="12801" max="12801" width="3.09765625" customWidth="1"/>
    <col min="12802" max="12802" width="5.5" customWidth="1"/>
    <col min="12803" max="12805" width="6.69921875" customWidth="1"/>
    <col min="12806" max="12806" width="5.8984375" customWidth="1"/>
    <col min="12807" max="12807" width="4.69921875" customWidth="1"/>
    <col min="12808" max="12808" width="2.5" customWidth="1"/>
    <col min="12809" max="12809" width="4.19921875" customWidth="1"/>
    <col min="12810" max="12813" width="6.69921875" customWidth="1"/>
    <col min="12814" max="12814" width="6.59765625" customWidth="1"/>
    <col min="12815" max="12815" width="4.69921875" customWidth="1"/>
    <col min="12816" max="12816" width="9.5" bestFit="1" customWidth="1"/>
    <col min="12817" max="12817" width="12.09765625" customWidth="1"/>
    <col min="13057" max="13057" width="3.09765625" customWidth="1"/>
    <col min="13058" max="13058" width="5.5" customWidth="1"/>
    <col min="13059" max="13061" width="6.69921875" customWidth="1"/>
    <col min="13062" max="13062" width="5.8984375" customWidth="1"/>
    <col min="13063" max="13063" width="4.69921875" customWidth="1"/>
    <col min="13064" max="13064" width="2.5" customWidth="1"/>
    <col min="13065" max="13065" width="4.19921875" customWidth="1"/>
    <col min="13066" max="13069" width="6.69921875" customWidth="1"/>
    <col min="13070" max="13070" width="6.59765625" customWidth="1"/>
    <col min="13071" max="13071" width="4.69921875" customWidth="1"/>
    <col min="13072" max="13072" width="9.5" bestFit="1" customWidth="1"/>
    <col min="13073" max="13073" width="12.09765625" customWidth="1"/>
    <col min="13313" max="13313" width="3.09765625" customWidth="1"/>
    <col min="13314" max="13314" width="5.5" customWidth="1"/>
    <col min="13315" max="13317" width="6.69921875" customWidth="1"/>
    <col min="13318" max="13318" width="5.8984375" customWidth="1"/>
    <col min="13319" max="13319" width="4.69921875" customWidth="1"/>
    <col min="13320" max="13320" width="2.5" customWidth="1"/>
    <col min="13321" max="13321" width="4.19921875" customWidth="1"/>
    <col min="13322" max="13325" width="6.69921875" customWidth="1"/>
    <col min="13326" max="13326" width="6.59765625" customWidth="1"/>
    <col min="13327" max="13327" width="4.69921875" customWidth="1"/>
    <col min="13328" max="13328" width="9.5" bestFit="1" customWidth="1"/>
    <col min="13329" max="13329" width="12.09765625" customWidth="1"/>
    <col min="13569" max="13569" width="3.09765625" customWidth="1"/>
    <col min="13570" max="13570" width="5.5" customWidth="1"/>
    <col min="13571" max="13573" width="6.69921875" customWidth="1"/>
    <col min="13574" max="13574" width="5.8984375" customWidth="1"/>
    <col min="13575" max="13575" width="4.69921875" customWidth="1"/>
    <col min="13576" max="13576" width="2.5" customWidth="1"/>
    <col min="13577" max="13577" width="4.19921875" customWidth="1"/>
    <col min="13578" max="13581" width="6.69921875" customWidth="1"/>
    <col min="13582" max="13582" width="6.59765625" customWidth="1"/>
    <col min="13583" max="13583" width="4.69921875" customWidth="1"/>
    <col min="13584" max="13584" width="9.5" bestFit="1" customWidth="1"/>
    <col min="13585" max="13585" width="12.09765625" customWidth="1"/>
    <col min="13825" max="13825" width="3.09765625" customWidth="1"/>
    <col min="13826" max="13826" width="5.5" customWidth="1"/>
    <col min="13827" max="13829" width="6.69921875" customWidth="1"/>
    <col min="13830" max="13830" width="5.8984375" customWidth="1"/>
    <col min="13831" max="13831" width="4.69921875" customWidth="1"/>
    <col min="13832" max="13832" width="2.5" customWidth="1"/>
    <col min="13833" max="13833" width="4.19921875" customWidth="1"/>
    <col min="13834" max="13837" width="6.69921875" customWidth="1"/>
    <col min="13838" max="13838" width="6.59765625" customWidth="1"/>
    <col min="13839" max="13839" width="4.69921875" customWidth="1"/>
    <col min="13840" max="13840" width="9.5" bestFit="1" customWidth="1"/>
    <col min="13841" max="13841" width="12.09765625" customWidth="1"/>
    <col min="14081" max="14081" width="3.09765625" customWidth="1"/>
    <col min="14082" max="14082" width="5.5" customWidth="1"/>
    <col min="14083" max="14085" width="6.69921875" customWidth="1"/>
    <col min="14086" max="14086" width="5.8984375" customWidth="1"/>
    <col min="14087" max="14087" width="4.69921875" customWidth="1"/>
    <col min="14088" max="14088" width="2.5" customWidth="1"/>
    <col min="14089" max="14089" width="4.19921875" customWidth="1"/>
    <col min="14090" max="14093" width="6.69921875" customWidth="1"/>
    <col min="14094" max="14094" width="6.59765625" customWidth="1"/>
    <col min="14095" max="14095" width="4.69921875" customWidth="1"/>
    <col min="14096" max="14096" width="9.5" bestFit="1" customWidth="1"/>
    <col min="14097" max="14097" width="12.09765625" customWidth="1"/>
    <col min="14337" max="14337" width="3.09765625" customWidth="1"/>
    <col min="14338" max="14338" width="5.5" customWidth="1"/>
    <col min="14339" max="14341" width="6.69921875" customWidth="1"/>
    <col min="14342" max="14342" width="5.8984375" customWidth="1"/>
    <col min="14343" max="14343" width="4.69921875" customWidth="1"/>
    <col min="14344" max="14344" width="2.5" customWidth="1"/>
    <col min="14345" max="14345" width="4.19921875" customWidth="1"/>
    <col min="14346" max="14349" width="6.69921875" customWidth="1"/>
    <col min="14350" max="14350" width="6.59765625" customWidth="1"/>
    <col min="14351" max="14351" width="4.69921875" customWidth="1"/>
    <col min="14352" max="14352" width="9.5" bestFit="1" customWidth="1"/>
    <col min="14353" max="14353" width="12.09765625" customWidth="1"/>
    <col min="14593" max="14593" width="3.09765625" customWidth="1"/>
    <col min="14594" max="14594" width="5.5" customWidth="1"/>
    <col min="14595" max="14597" width="6.69921875" customWidth="1"/>
    <col min="14598" max="14598" width="5.8984375" customWidth="1"/>
    <col min="14599" max="14599" width="4.69921875" customWidth="1"/>
    <col min="14600" max="14600" width="2.5" customWidth="1"/>
    <col min="14601" max="14601" width="4.19921875" customWidth="1"/>
    <col min="14602" max="14605" width="6.69921875" customWidth="1"/>
    <col min="14606" max="14606" width="6.59765625" customWidth="1"/>
    <col min="14607" max="14607" width="4.69921875" customWidth="1"/>
    <col min="14608" max="14608" width="9.5" bestFit="1" customWidth="1"/>
    <col min="14609" max="14609" width="12.09765625" customWidth="1"/>
    <col min="14849" max="14849" width="3.09765625" customWidth="1"/>
    <col min="14850" max="14850" width="5.5" customWidth="1"/>
    <col min="14851" max="14853" width="6.69921875" customWidth="1"/>
    <col min="14854" max="14854" width="5.8984375" customWidth="1"/>
    <col min="14855" max="14855" width="4.69921875" customWidth="1"/>
    <col min="14856" max="14856" width="2.5" customWidth="1"/>
    <col min="14857" max="14857" width="4.19921875" customWidth="1"/>
    <col min="14858" max="14861" width="6.69921875" customWidth="1"/>
    <col min="14862" max="14862" width="6.59765625" customWidth="1"/>
    <col min="14863" max="14863" width="4.69921875" customWidth="1"/>
    <col min="14864" max="14864" width="9.5" bestFit="1" customWidth="1"/>
    <col min="14865" max="14865" width="12.09765625" customWidth="1"/>
    <col min="15105" max="15105" width="3.09765625" customWidth="1"/>
    <col min="15106" max="15106" width="5.5" customWidth="1"/>
    <col min="15107" max="15109" width="6.69921875" customWidth="1"/>
    <col min="15110" max="15110" width="5.8984375" customWidth="1"/>
    <col min="15111" max="15111" width="4.69921875" customWidth="1"/>
    <col min="15112" max="15112" width="2.5" customWidth="1"/>
    <col min="15113" max="15113" width="4.19921875" customWidth="1"/>
    <col min="15114" max="15117" width="6.69921875" customWidth="1"/>
    <col min="15118" max="15118" width="6.59765625" customWidth="1"/>
    <col min="15119" max="15119" width="4.69921875" customWidth="1"/>
    <col min="15120" max="15120" width="9.5" bestFit="1" customWidth="1"/>
    <col min="15121" max="15121" width="12.09765625" customWidth="1"/>
    <col min="15361" max="15361" width="3.09765625" customWidth="1"/>
    <col min="15362" max="15362" width="5.5" customWidth="1"/>
    <col min="15363" max="15365" width="6.69921875" customWidth="1"/>
    <col min="15366" max="15366" width="5.8984375" customWidth="1"/>
    <col min="15367" max="15367" width="4.69921875" customWidth="1"/>
    <col min="15368" max="15368" width="2.5" customWidth="1"/>
    <col min="15369" max="15369" width="4.19921875" customWidth="1"/>
    <col min="15370" max="15373" width="6.69921875" customWidth="1"/>
    <col min="15374" max="15374" width="6.59765625" customWidth="1"/>
    <col min="15375" max="15375" width="4.69921875" customWidth="1"/>
    <col min="15376" max="15376" width="9.5" bestFit="1" customWidth="1"/>
    <col min="15377" max="15377" width="12.09765625" customWidth="1"/>
    <col min="15617" max="15617" width="3.09765625" customWidth="1"/>
    <col min="15618" max="15618" width="5.5" customWidth="1"/>
    <col min="15619" max="15621" width="6.69921875" customWidth="1"/>
    <col min="15622" max="15622" width="5.8984375" customWidth="1"/>
    <col min="15623" max="15623" width="4.69921875" customWidth="1"/>
    <col min="15624" max="15624" width="2.5" customWidth="1"/>
    <col min="15625" max="15625" width="4.19921875" customWidth="1"/>
    <col min="15626" max="15629" width="6.69921875" customWidth="1"/>
    <col min="15630" max="15630" width="6.59765625" customWidth="1"/>
    <col min="15631" max="15631" width="4.69921875" customWidth="1"/>
    <col min="15632" max="15632" width="9.5" bestFit="1" customWidth="1"/>
    <col min="15633" max="15633" width="12.09765625" customWidth="1"/>
    <col min="15873" max="15873" width="3.09765625" customWidth="1"/>
    <col min="15874" max="15874" width="5.5" customWidth="1"/>
    <col min="15875" max="15877" width="6.69921875" customWidth="1"/>
    <col min="15878" max="15878" width="5.8984375" customWidth="1"/>
    <col min="15879" max="15879" width="4.69921875" customWidth="1"/>
    <col min="15880" max="15880" width="2.5" customWidth="1"/>
    <col min="15881" max="15881" width="4.19921875" customWidth="1"/>
    <col min="15882" max="15885" width="6.69921875" customWidth="1"/>
    <col min="15886" max="15886" width="6.59765625" customWidth="1"/>
    <col min="15887" max="15887" width="4.69921875" customWidth="1"/>
    <col min="15888" max="15888" width="9.5" bestFit="1" customWidth="1"/>
    <col min="15889" max="15889" width="12.09765625" customWidth="1"/>
    <col min="16129" max="16129" width="3.09765625" customWidth="1"/>
    <col min="16130" max="16130" width="5.5" customWidth="1"/>
    <col min="16131" max="16133" width="6.69921875" customWidth="1"/>
    <col min="16134" max="16134" width="5.8984375" customWidth="1"/>
    <col min="16135" max="16135" width="4.69921875" customWidth="1"/>
    <col min="16136" max="16136" width="2.5" customWidth="1"/>
    <col min="16137" max="16137" width="4.19921875" customWidth="1"/>
    <col min="16138" max="16141" width="6.69921875" customWidth="1"/>
    <col min="16142" max="16142" width="6.59765625" customWidth="1"/>
    <col min="16143" max="16143" width="4.69921875" customWidth="1"/>
    <col min="16144" max="16144" width="9.5" bestFit="1" customWidth="1"/>
    <col min="16145" max="16145" width="12.09765625" customWidth="1"/>
  </cols>
  <sheetData>
    <row r="1" spans="1:18" ht="25.2">
      <c r="A1" s="1" t="s">
        <v>182</v>
      </c>
      <c r="D1" s="2"/>
      <c r="E1" s="2"/>
    </row>
    <row r="2" spans="1:18" ht="18" thickBot="1">
      <c r="A2" s="105" t="s">
        <v>214</v>
      </c>
      <c r="B2" s="105"/>
      <c r="C2" s="105"/>
      <c r="D2" s="105"/>
      <c r="E2" s="105"/>
      <c r="F2" s="105"/>
      <c r="G2" s="105"/>
      <c r="H2" s="105" t="s">
        <v>213</v>
      </c>
      <c r="I2" s="105"/>
      <c r="J2" s="105"/>
      <c r="N2" s="3" t="s">
        <v>0</v>
      </c>
    </row>
    <row r="3" spans="1:18" s="4" customFormat="1" ht="17.399999999999999" customHeight="1">
      <c r="A3" s="116" t="s">
        <v>1</v>
      </c>
      <c r="B3" s="117"/>
      <c r="C3" s="117"/>
      <c r="D3" s="117" t="s">
        <v>183</v>
      </c>
      <c r="E3" s="119" t="s">
        <v>184</v>
      </c>
      <c r="F3" s="117" t="s">
        <v>2</v>
      </c>
      <c r="G3" s="121" t="s">
        <v>3</v>
      </c>
      <c r="H3" s="116" t="s">
        <v>1</v>
      </c>
      <c r="I3" s="117"/>
      <c r="J3" s="117"/>
      <c r="K3" s="117"/>
      <c r="L3" s="117" t="s">
        <v>183</v>
      </c>
      <c r="M3" s="119" t="s">
        <v>184</v>
      </c>
      <c r="N3" s="117" t="s">
        <v>2</v>
      </c>
      <c r="O3" s="106" t="s">
        <v>3</v>
      </c>
    </row>
    <row r="4" spans="1:18" s="4" customFormat="1" ht="27" thickBot="1">
      <c r="A4" s="104" t="s">
        <v>4</v>
      </c>
      <c r="B4" s="103" t="s">
        <v>5</v>
      </c>
      <c r="C4" s="103" t="s">
        <v>6</v>
      </c>
      <c r="D4" s="118"/>
      <c r="E4" s="120"/>
      <c r="F4" s="118"/>
      <c r="G4" s="122"/>
      <c r="H4" s="104" t="s">
        <v>7</v>
      </c>
      <c r="I4" s="103" t="s">
        <v>8</v>
      </c>
      <c r="J4" s="103" t="s">
        <v>5</v>
      </c>
      <c r="K4" s="103" t="s">
        <v>6</v>
      </c>
      <c r="L4" s="118"/>
      <c r="M4" s="120"/>
      <c r="N4" s="118"/>
      <c r="O4" s="107"/>
    </row>
    <row r="5" spans="1:18" s="4" customFormat="1" ht="39.6">
      <c r="A5" s="108" t="s">
        <v>9</v>
      </c>
      <c r="B5" s="101" t="s">
        <v>10</v>
      </c>
      <c r="C5" s="6" t="s">
        <v>11</v>
      </c>
      <c r="D5" s="7">
        <v>181546</v>
      </c>
      <c r="E5" s="7">
        <v>181546</v>
      </c>
      <c r="F5" s="7">
        <f>E5-D5</f>
        <v>0</v>
      </c>
      <c r="G5" s="8">
        <f>F5/D5*100</f>
        <v>0</v>
      </c>
      <c r="H5" s="110" t="s">
        <v>12</v>
      </c>
      <c r="I5" s="108" t="s">
        <v>13</v>
      </c>
      <c r="J5" s="101" t="s">
        <v>14</v>
      </c>
      <c r="K5" s="6" t="s">
        <v>14</v>
      </c>
      <c r="L5" s="7">
        <v>251002</v>
      </c>
      <c r="M5" s="7">
        <v>251002</v>
      </c>
      <c r="N5" s="7">
        <f t="shared" ref="N5:N15" si="0">M5-L5</f>
        <v>0</v>
      </c>
      <c r="O5" s="9">
        <f t="shared" ref="O5:O45" si="1">N5/L5*100</f>
        <v>0</v>
      </c>
    </row>
    <row r="6" spans="1:18" s="4" customFormat="1" ht="39.6">
      <c r="A6" s="109"/>
      <c r="B6" s="113" t="s">
        <v>15</v>
      </c>
      <c r="C6" s="10" t="s">
        <v>16</v>
      </c>
      <c r="D6" s="11">
        <v>54206</v>
      </c>
      <c r="E6" s="11">
        <v>54206</v>
      </c>
      <c r="F6" s="11">
        <f t="shared" ref="F6:F26" si="2">E6-D6</f>
        <v>0</v>
      </c>
      <c r="G6" s="12">
        <f t="shared" ref="G6:G28" si="3">F6/D6*100</f>
        <v>0</v>
      </c>
      <c r="H6" s="111"/>
      <c r="I6" s="109"/>
      <c r="J6" s="102" t="s">
        <v>17</v>
      </c>
      <c r="K6" s="10" t="s">
        <v>17</v>
      </c>
      <c r="L6" s="11">
        <v>1000</v>
      </c>
      <c r="M6" s="11">
        <v>1000</v>
      </c>
      <c r="N6" s="11">
        <f t="shared" si="0"/>
        <v>0</v>
      </c>
      <c r="O6" s="14">
        <f t="shared" si="1"/>
        <v>0</v>
      </c>
    </row>
    <row r="7" spans="1:18" s="4" customFormat="1" ht="39.6">
      <c r="A7" s="109"/>
      <c r="B7" s="109"/>
      <c r="C7" s="10" t="s">
        <v>18</v>
      </c>
      <c r="D7" s="11">
        <v>21727</v>
      </c>
      <c r="E7" s="11">
        <v>21727</v>
      </c>
      <c r="F7" s="11">
        <f t="shared" si="2"/>
        <v>0</v>
      </c>
      <c r="G7" s="12">
        <f t="shared" si="3"/>
        <v>0</v>
      </c>
      <c r="H7" s="111"/>
      <c r="I7" s="109"/>
      <c r="J7" s="102" t="s">
        <v>19</v>
      </c>
      <c r="K7" s="10" t="s">
        <v>19</v>
      </c>
      <c r="L7" s="11">
        <v>21700</v>
      </c>
      <c r="M7" s="11">
        <v>21700</v>
      </c>
      <c r="N7" s="11">
        <f t="shared" si="0"/>
        <v>0</v>
      </c>
      <c r="O7" s="14">
        <f t="shared" si="1"/>
        <v>0</v>
      </c>
    </row>
    <row r="8" spans="1:18" s="4" customFormat="1" ht="26.4">
      <c r="A8" s="109"/>
      <c r="B8" s="109"/>
      <c r="C8" s="10" t="s">
        <v>20</v>
      </c>
      <c r="D8" s="11">
        <f>4*65*365</f>
        <v>94900</v>
      </c>
      <c r="E8" s="11">
        <f>4*65*365</f>
        <v>94900</v>
      </c>
      <c r="F8" s="11">
        <f t="shared" si="2"/>
        <v>0</v>
      </c>
      <c r="G8" s="12">
        <f t="shared" si="3"/>
        <v>0</v>
      </c>
      <c r="H8" s="111"/>
      <c r="I8" s="109"/>
      <c r="J8" s="102" t="s">
        <v>21</v>
      </c>
      <c r="K8" s="10" t="s">
        <v>21</v>
      </c>
      <c r="L8" s="11">
        <v>26367</v>
      </c>
      <c r="M8" s="11">
        <v>26367</v>
      </c>
      <c r="N8" s="11">
        <f t="shared" si="0"/>
        <v>0</v>
      </c>
      <c r="O8" s="14">
        <f t="shared" si="1"/>
        <v>0</v>
      </c>
    </row>
    <row r="9" spans="1:18" s="4" customFormat="1" ht="26.4">
      <c r="A9" s="109"/>
      <c r="B9" s="109"/>
      <c r="C9" s="10" t="s">
        <v>22</v>
      </c>
      <c r="D9" s="11">
        <v>301069</v>
      </c>
      <c r="E9" s="11">
        <v>301069</v>
      </c>
      <c r="F9" s="11">
        <f t="shared" si="2"/>
        <v>0</v>
      </c>
      <c r="G9" s="12">
        <f t="shared" si="3"/>
        <v>0</v>
      </c>
      <c r="H9" s="111"/>
      <c r="I9" s="109"/>
      <c r="J9" s="102" t="s">
        <v>23</v>
      </c>
      <c r="K9" s="10" t="s">
        <v>23</v>
      </c>
      <c r="L9" s="11">
        <v>2750</v>
      </c>
      <c r="M9" s="11">
        <v>2750</v>
      </c>
      <c r="N9" s="11">
        <f t="shared" si="0"/>
        <v>0</v>
      </c>
      <c r="O9" s="14">
        <f t="shared" si="1"/>
        <v>0</v>
      </c>
    </row>
    <row r="10" spans="1:18" s="4" customFormat="1" ht="39.6">
      <c r="A10" s="109"/>
      <c r="B10" s="109"/>
      <c r="C10" s="10" t="s">
        <v>24</v>
      </c>
      <c r="D10" s="11">
        <v>9858</v>
      </c>
      <c r="E10" s="11">
        <v>9858</v>
      </c>
      <c r="F10" s="11">
        <f t="shared" si="2"/>
        <v>0</v>
      </c>
      <c r="G10" s="12">
        <f t="shared" si="3"/>
        <v>0</v>
      </c>
      <c r="H10" s="111"/>
      <c r="I10" s="102" t="s">
        <v>25</v>
      </c>
      <c r="J10" s="102" t="s">
        <v>26</v>
      </c>
      <c r="K10" s="10" t="s">
        <v>26</v>
      </c>
      <c r="L10" s="11">
        <v>927</v>
      </c>
      <c r="M10" s="11">
        <v>1227</v>
      </c>
      <c r="N10" s="11">
        <f t="shared" si="0"/>
        <v>300</v>
      </c>
      <c r="O10" s="14">
        <f t="shared" si="1"/>
        <v>32.362459546925564</v>
      </c>
    </row>
    <row r="11" spans="1:18" s="4" customFormat="1" ht="26.4">
      <c r="A11" s="109"/>
      <c r="B11" s="109"/>
      <c r="C11" s="10" t="s">
        <v>27</v>
      </c>
      <c r="D11" s="11">
        <v>460</v>
      </c>
      <c r="E11" s="11">
        <v>460</v>
      </c>
      <c r="F11" s="11">
        <f t="shared" si="2"/>
        <v>0</v>
      </c>
      <c r="G11" s="12">
        <f t="shared" si="3"/>
        <v>0</v>
      </c>
      <c r="H11" s="111"/>
      <c r="I11" s="113" t="s">
        <v>28</v>
      </c>
      <c r="J11" s="102" t="s">
        <v>29</v>
      </c>
      <c r="K11" s="10" t="s">
        <v>29</v>
      </c>
      <c r="L11" s="11">
        <v>200</v>
      </c>
      <c r="M11" s="11">
        <v>200</v>
      </c>
      <c r="N11" s="11">
        <f t="shared" si="0"/>
        <v>0</v>
      </c>
      <c r="O11" s="14">
        <f t="shared" si="1"/>
        <v>0</v>
      </c>
    </row>
    <row r="12" spans="1:18" s="4" customFormat="1" ht="39.6">
      <c r="A12" s="109"/>
      <c r="B12" s="109"/>
      <c r="C12" s="10" t="s">
        <v>30</v>
      </c>
      <c r="D12" s="11">
        <v>2400</v>
      </c>
      <c r="E12" s="11">
        <v>2400</v>
      </c>
      <c r="F12" s="11">
        <f t="shared" si="2"/>
        <v>0</v>
      </c>
      <c r="G12" s="12">
        <f t="shared" si="3"/>
        <v>0</v>
      </c>
      <c r="H12" s="111"/>
      <c r="I12" s="109"/>
      <c r="J12" s="102" t="s">
        <v>31</v>
      </c>
      <c r="K12" s="10" t="s">
        <v>31</v>
      </c>
      <c r="L12" s="11">
        <v>12117</v>
      </c>
      <c r="M12" s="11">
        <v>11914</v>
      </c>
      <c r="N12" s="11">
        <f t="shared" si="0"/>
        <v>-203</v>
      </c>
      <c r="O12" s="14">
        <f t="shared" si="1"/>
        <v>-1.6753321779318313</v>
      </c>
      <c r="R12" s="15"/>
    </row>
    <row r="13" spans="1:18" s="4" customFormat="1" ht="39.6">
      <c r="A13" s="109"/>
      <c r="B13" s="109"/>
      <c r="C13" s="10" t="s">
        <v>32</v>
      </c>
      <c r="D13" s="11">
        <v>6010</v>
      </c>
      <c r="E13" s="11">
        <v>7010</v>
      </c>
      <c r="F13" s="11">
        <f t="shared" si="2"/>
        <v>1000</v>
      </c>
      <c r="G13" s="12">
        <f t="shared" si="3"/>
        <v>16.638935108153078</v>
      </c>
      <c r="H13" s="111"/>
      <c r="I13" s="109"/>
      <c r="J13" s="102" t="s">
        <v>33</v>
      </c>
      <c r="K13" s="10" t="s">
        <v>33</v>
      </c>
      <c r="L13" s="11">
        <v>11702</v>
      </c>
      <c r="M13" s="11">
        <v>11702</v>
      </c>
      <c r="N13" s="11">
        <f t="shared" si="0"/>
        <v>0</v>
      </c>
      <c r="O13" s="14">
        <f t="shared" si="1"/>
        <v>0</v>
      </c>
    </row>
    <row r="14" spans="1:18" s="4" customFormat="1" ht="26.4">
      <c r="A14" s="109"/>
      <c r="B14" s="109"/>
      <c r="C14" s="16" t="s">
        <v>34</v>
      </c>
      <c r="D14" s="11">
        <f>SUM(D6:D13)</f>
        <v>490630</v>
      </c>
      <c r="E14" s="11">
        <f>SUM(E6:E13)</f>
        <v>491630</v>
      </c>
      <c r="F14" s="11">
        <f>SUM(F6:F13)</f>
        <v>1000</v>
      </c>
      <c r="G14" s="12">
        <f>F14/D14*100</f>
        <v>0.20381957890874997</v>
      </c>
      <c r="H14" s="111"/>
      <c r="I14" s="109"/>
      <c r="J14" s="102" t="s">
        <v>35</v>
      </c>
      <c r="K14" s="10" t="s">
        <v>35</v>
      </c>
      <c r="L14" s="11">
        <v>3813</v>
      </c>
      <c r="M14" s="11">
        <v>3813</v>
      </c>
      <c r="N14" s="11">
        <f t="shared" si="0"/>
        <v>0</v>
      </c>
      <c r="O14" s="14">
        <f t="shared" si="1"/>
        <v>0</v>
      </c>
    </row>
    <row r="15" spans="1:18" s="4" customFormat="1" ht="16.5" customHeight="1">
      <c r="A15" s="114" t="s">
        <v>36</v>
      </c>
      <c r="B15" s="115"/>
      <c r="C15" s="115"/>
      <c r="D15" s="17">
        <f>D5+D14</f>
        <v>672176</v>
      </c>
      <c r="E15" s="17">
        <f>E5+E14</f>
        <v>673176</v>
      </c>
      <c r="F15" s="17">
        <f>E15-D15</f>
        <v>1000</v>
      </c>
      <c r="G15" s="18">
        <f>F15/D15*100</f>
        <v>0.14877056009140463</v>
      </c>
      <c r="H15" s="112"/>
      <c r="I15" s="109"/>
      <c r="J15" s="102" t="s">
        <v>37</v>
      </c>
      <c r="K15" s="10" t="s">
        <v>37</v>
      </c>
      <c r="L15" s="11">
        <v>2400</v>
      </c>
      <c r="M15" s="11">
        <v>2400</v>
      </c>
      <c r="N15" s="11">
        <f t="shared" si="0"/>
        <v>0</v>
      </c>
      <c r="O15" s="14">
        <f t="shared" si="1"/>
        <v>0</v>
      </c>
    </row>
    <row r="16" spans="1:18" s="4" customFormat="1" ht="24" customHeight="1">
      <c r="A16" s="128" t="s">
        <v>38</v>
      </c>
      <c r="B16" s="128" t="s">
        <v>39</v>
      </c>
      <c r="C16" s="10" t="s">
        <v>40</v>
      </c>
      <c r="D16" s="11">
        <f>2400+2400</f>
        <v>4800</v>
      </c>
      <c r="E16" s="11">
        <f>2400+2400</f>
        <v>4800</v>
      </c>
      <c r="F16" s="11">
        <f t="shared" si="2"/>
        <v>0</v>
      </c>
      <c r="G16" s="12">
        <f t="shared" si="3"/>
        <v>0</v>
      </c>
      <c r="H16" s="126" t="s">
        <v>41</v>
      </c>
      <c r="I16" s="127"/>
      <c r="J16" s="127"/>
      <c r="K16" s="127"/>
      <c r="L16" s="17">
        <f>SUM(L5:L15)</f>
        <v>333978</v>
      </c>
      <c r="M16" s="17">
        <f>SUM(M5:M15)</f>
        <v>334075</v>
      </c>
      <c r="N16" s="17">
        <f>SUM(N5:N15)</f>
        <v>97</v>
      </c>
      <c r="O16" s="19">
        <f t="shared" si="1"/>
        <v>2.9043829234260937E-2</v>
      </c>
    </row>
    <row r="17" spans="1:20" s="4" customFormat="1" ht="26.4">
      <c r="A17" s="129"/>
      <c r="B17" s="108"/>
      <c r="C17" s="10" t="s">
        <v>42</v>
      </c>
      <c r="D17" s="11">
        <v>6050</v>
      </c>
      <c r="E17" s="11">
        <v>9380</v>
      </c>
      <c r="F17" s="11">
        <f t="shared" si="2"/>
        <v>3330</v>
      </c>
      <c r="G17" s="12">
        <f t="shared" si="3"/>
        <v>55.041322314049587</v>
      </c>
      <c r="H17" s="130" t="s">
        <v>43</v>
      </c>
      <c r="I17" s="113" t="s">
        <v>44</v>
      </c>
      <c r="J17" s="102" t="s">
        <v>45</v>
      </c>
      <c r="K17" s="10" t="s">
        <v>45</v>
      </c>
      <c r="L17" s="11">
        <v>5863</v>
      </c>
      <c r="M17" s="11">
        <v>5767</v>
      </c>
      <c r="N17" s="11">
        <f>M17-L17</f>
        <v>-96</v>
      </c>
      <c r="O17" s="14">
        <f t="shared" si="1"/>
        <v>-1.6373870032406619</v>
      </c>
    </row>
    <row r="18" spans="1:20" s="4" customFormat="1" ht="37.5" customHeight="1">
      <c r="A18" s="108"/>
      <c r="B18" s="102" t="s">
        <v>46</v>
      </c>
      <c r="C18" s="10" t="s">
        <v>46</v>
      </c>
      <c r="D18" s="11">
        <v>4800</v>
      </c>
      <c r="E18" s="11">
        <v>4800</v>
      </c>
      <c r="F18" s="11">
        <f t="shared" si="2"/>
        <v>0</v>
      </c>
      <c r="G18" s="12">
        <f t="shared" si="3"/>
        <v>0</v>
      </c>
      <c r="H18" s="131"/>
      <c r="I18" s="109"/>
      <c r="J18" s="102" t="s">
        <v>47</v>
      </c>
      <c r="K18" s="10" t="s">
        <v>47</v>
      </c>
      <c r="L18" s="11">
        <v>4595</v>
      </c>
      <c r="M18" s="11">
        <v>4595</v>
      </c>
      <c r="N18" s="11">
        <f>M18-L18</f>
        <v>0</v>
      </c>
      <c r="O18" s="14">
        <f t="shared" si="1"/>
        <v>0</v>
      </c>
    </row>
    <row r="19" spans="1:20" s="4" customFormat="1" ht="16.5" customHeight="1">
      <c r="A19" s="123" t="s">
        <v>48</v>
      </c>
      <c r="B19" s="124"/>
      <c r="C19" s="125"/>
      <c r="D19" s="17">
        <f>SUM(D16:D18)</f>
        <v>15650</v>
      </c>
      <c r="E19" s="17">
        <f>SUM(E16:E18)</f>
        <v>18980</v>
      </c>
      <c r="F19" s="17">
        <f>SUM(F16:F18)</f>
        <v>3330</v>
      </c>
      <c r="G19" s="18">
        <f t="shared" si="3"/>
        <v>21.277955271565496</v>
      </c>
      <c r="H19" s="126" t="s">
        <v>49</v>
      </c>
      <c r="I19" s="127"/>
      <c r="J19" s="127"/>
      <c r="K19" s="127"/>
      <c r="L19" s="17">
        <f>SUM(L17:L18)</f>
        <v>10458</v>
      </c>
      <c r="M19" s="17">
        <f>SUM(M17:M18)</f>
        <v>10362</v>
      </c>
      <c r="N19" s="17">
        <f>SUM(N17:N18)</f>
        <v>-96</v>
      </c>
      <c r="O19" s="19">
        <f t="shared" si="1"/>
        <v>-0.91795754446356848</v>
      </c>
    </row>
    <row r="20" spans="1:20" s="4" customFormat="1" ht="39.6">
      <c r="A20" s="102" t="s">
        <v>50</v>
      </c>
      <c r="B20" s="102" t="s">
        <v>51</v>
      </c>
      <c r="C20" s="10" t="s">
        <v>52</v>
      </c>
      <c r="D20" s="11">
        <v>3635</v>
      </c>
      <c r="E20" s="11">
        <v>3635</v>
      </c>
      <c r="F20" s="11">
        <f t="shared" si="2"/>
        <v>0</v>
      </c>
      <c r="G20" s="12">
        <f t="shared" si="3"/>
        <v>0</v>
      </c>
      <c r="H20" s="134" t="s">
        <v>53</v>
      </c>
      <c r="I20" s="113" t="s">
        <v>28</v>
      </c>
      <c r="J20" s="102" t="s">
        <v>54</v>
      </c>
      <c r="K20" s="10" t="s">
        <v>54</v>
      </c>
      <c r="L20" s="11">
        <v>94900</v>
      </c>
      <c r="M20" s="11">
        <v>94900</v>
      </c>
      <c r="N20" s="11">
        <f t="shared" ref="N20:N39" si="4">M20-L20</f>
        <v>0</v>
      </c>
      <c r="O20" s="14">
        <f t="shared" si="1"/>
        <v>0</v>
      </c>
    </row>
    <row r="21" spans="1:20" s="4" customFormat="1" ht="24" customHeight="1">
      <c r="A21" s="135" t="s">
        <v>55</v>
      </c>
      <c r="B21" s="136"/>
      <c r="C21" s="137"/>
      <c r="D21" s="20">
        <f>SUM(D20)</f>
        <v>3635</v>
      </c>
      <c r="E21" s="20">
        <f>SUM(E20)</f>
        <v>3635</v>
      </c>
      <c r="F21" s="20">
        <f>SUM(F20)</f>
        <v>0</v>
      </c>
      <c r="G21" s="21">
        <f t="shared" si="3"/>
        <v>0</v>
      </c>
      <c r="H21" s="111"/>
      <c r="I21" s="109"/>
      <c r="J21" s="102" t="s">
        <v>56</v>
      </c>
      <c r="K21" s="10" t="s">
        <v>56</v>
      </c>
      <c r="L21" s="11">
        <v>2042</v>
      </c>
      <c r="M21" s="11">
        <v>2042</v>
      </c>
      <c r="N21" s="11">
        <f t="shared" si="4"/>
        <v>0</v>
      </c>
      <c r="O21" s="14">
        <f t="shared" si="1"/>
        <v>0</v>
      </c>
    </row>
    <row r="22" spans="1:20" s="4" customFormat="1" ht="24" customHeight="1">
      <c r="A22" s="128" t="s">
        <v>57</v>
      </c>
      <c r="B22" s="102" t="s">
        <v>58</v>
      </c>
      <c r="C22" s="10" t="s">
        <v>59</v>
      </c>
      <c r="D22" s="11">
        <v>17911</v>
      </c>
      <c r="E22" s="11">
        <v>17913</v>
      </c>
      <c r="F22" s="11">
        <f t="shared" si="2"/>
        <v>2</v>
      </c>
      <c r="G22" s="12">
        <f t="shared" si="3"/>
        <v>1.1166322371726871E-2</v>
      </c>
      <c r="H22" s="111"/>
      <c r="I22" s="109"/>
      <c r="J22" s="102" t="s">
        <v>60</v>
      </c>
      <c r="K22" s="10" t="s">
        <v>60</v>
      </c>
      <c r="L22" s="11">
        <v>136</v>
      </c>
      <c r="M22" s="11">
        <v>136</v>
      </c>
      <c r="N22" s="11">
        <f t="shared" si="4"/>
        <v>0</v>
      </c>
      <c r="O22" s="14">
        <f t="shared" si="1"/>
        <v>0</v>
      </c>
    </row>
    <row r="23" spans="1:20" s="4" customFormat="1" ht="54" customHeight="1">
      <c r="A23" s="108"/>
      <c r="B23" s="102" t="s">
        <v>61</v>
      </c>
      <c r="C23" s="10" t="s">
        <v>62</v>
      </c>
      <c r="D23" s="11">
        <v>20954</v>
      </c>
      <c r="E23" s="11">
        <v>20954</v>
      </c>
      <c r="F23" s="11">
        <f t="shared" si="2"/>
        <v>0</v>
      </c>
      <c r="G23" s="12">
        <f>F23/D23*100</f>
        <v>0</v>
      </c>
      <c r="H23" s="111"/>
      <c r="I23" s="109"/>
      <c r="J23" s="102" t="s">
        <v>63</v>
      </c>
      <c r="K23" s="10" t="s">
        <v>63</v>
      </c>
      <c r="L23" s="11">
        <v>4191</v>
      </c>
      <c r="M23" s="11">
        <v>4191</v>
      </c>
      <c r="N23" s="11">
        <f t="shared" si="4"/>
        <v>0</v>
      </c>
      <c r="O23" s="14">
        <f t="shared" si="1"/>
        <v>0</v>
      </c>
    </row>
    <row r="24" spans="1:20" s="4" customFormat="1" ht="39.6">
      <c r="A24" s="114" t="s">
        <v>64</v>
      </c>
      <c r="B24" s="115"/>
      <c r="C24" s="115"/>
      <c r="D24" s="17">
        <f>SUM(D22:D23)</f>
        <v>38865</v>
      </c>
      <c r="E24" s="17">
        <f>SUM(E22:E23)</f>
        <v>38867</v>
      </c>
      <c r="F24" s="17">
        <f>SUM(F22:F23)</f>
        <v>2</v>
      </c>
      <c r="G24" s="18">
        <f t="shared" si="3"/>
        <v>5.1460182683648525E-3</v>
      </c>
      <c r="H24" s="111"/>
      <c r="I24" s="128" t="s">
        <v>65</v>
      </c>
      <c r="J24" s="102" t="s">
        <v>66</v>
      </c>
      <c r="K24" s="10" t="s">
        <v>32</v>
      </c>
      <c r="L24" s="11">
        <v>6010</v>
      </c>
      <c r="M24" s="11">
        <v>7010</v>
      </c>
      <c r="N24" s="11">
        <f t="shared" si="4"/>
        <v>1000</v>
      </c>
      <c r="O24" s="14">
        <f t="shared" si="1"/>
        <v>16.638935108153078</v>
      </c>
    </row>
    <row r="25" spans="1:20" s="4" customFormat="1" ht="79.2">
      <c r="A25" s="113" t="s">
        <v>67</v>
      </c>
      <c r="B25" s="102" t="s">
        <v>68</v>
      </c>
      <c r="C25" s="10" t="s">
        <v>69</v>
      </c>
      <c r="D25" s="11">
        <v>50</v>
      </c>
      <c r="E25" s="11">
        <v>50</v>
      </c>
      <c r="F25" s="11">
        <f t="shared" si="2"/>
        <v>0</v>
      </c>
      <c r="G25" s="12">
        <f t="shared" si="3"/>
        <v>0</v>
      </c>
      <c r="H25" s="111"/>
      <c r="I25" s="132"/>
      <c r="J25" s="102" t="s">
        <v>70</v>
      </c>
      <c r="K25" s="10" t="s">
        <v>71</v>
      </c>
      <c r="L25" s="11">
        <v>54206</v>
      </c>
      <c r="M25" s="11">
        <v>54206</v>
      </c>
      <c r="N25" s="11">
        <f t="shared" si="4"/>
        <v>0</v>
      </c>
      <c r="O25" s="14">
        <f t="shared" si="1"/>
        <v>0</v>
      </c>
    </row>
    <row r="26" spans="1:20" s="4" customFormat="1" ht="52.8">
      <c r="A26" s="109"/>
      <c r="B26" s="102" t="s">
        <v>72</v>
      </c>
      <c r="C26" s="10" t="s">
        <v>72</v>
      </c>
      <c r="D26" s="11">
        <v>3580</v>
      </c>
      <c r="E26" s="11">
        <v>3580</v>
      </c>
      <c r="F26" s="11">
        <f t="shared" si="2"/>
        <v>0</v>
      </c>
      <c r="G26" s="12">
        <f t="shared" si="3"/>
        <v>0</v>
      </c>
      <c r="H26" s="111"/>
      <c r="I26" s="132"/>
      <c r="J26" s="113" t="s">
        <v>73</v>
      </c>
      <c r="K26" s="10" t="s">
        <v>74</v>
      </c>
      <c r="L26" s="11">
        <v>40800</v>
      </c>
      <c r="M26" s="11">
        <v>40800</v>
      </c>
      <c r="N26" s="11">
        <f t="shared" si="4"/>
        <v>0</v>
      </c>
      <c r="O26" s="14">
        <f t="shared" si="1"/>
        <v>0</v>
      </c>
      <c r="S26" s="15"/>
    </row>
    <row r="27" spans="1:20" s="4" customFormat="1" ht="26.4">
      <c r="A27" s="114" t="s">
        <v>75</v>
      </c>
      <c r="B27" s="115"/>
      <c r="C27" s="115"/>
      <c r="D27" s="17">
        <f>SUM(D25:D26)</f>
        <v>3630</v>
      </c>
      <c r="E27" s="17">
        <f>SUM(E25:E26)</f>
        <v>3630</v>
      </c>
      <c r="F27" s="17">
        <f>SUM(F25:F26)</f>
        <v>0</v>
      </c>
      <c r="G27" s="18">
        <f t="shared" si="3"/>
        <v>0</v>
      </c>
      <c r="H27" s="111"/>
      <c r="I27" s="132"/>
      <c r="J27" s="109"/>
      <c r="K27" s="10" t="s">
        <v>76</v>
      </c>
      <c r="L27" s="11">
        <v>5480</v>
      </c>
      <c r="M27" s="11">
        <v>5480</v>
      </c>
      <c r="N27" s="11">
        <f t="shared" si="4"/>
        <v>0</v>
      </c>
      <c r="O27" s="14">
        <f t="shared" si="1"/>
        <v>0</v>
      </c>
    </row>
    <row r="28" spans="1:20" s="4" customFormat="1" ht="40.200000000000003" customHeight="1">
      <c r="A28" s="114" t="s">
        <v>77</v>
      </c>
      <c r="B28" s="127"/>
      <c r="C28" s="127"/>
      <c r="D28" s="17">
        <f>D15+D19+D21+D24+D27</f>
        <v>733956</v>
      </c>
      <c r="E28" s="17">
        <f>E15+E19+E21+E24+E27</f>
        <v>738288</v>
      </c>
      <c r="F28" s="17">
        <f>F15+F19+F21+F24+F27</f>
        <v>4332</v>
      </c>
      <c r="G28" s="18">
        <f t="shared" si="3"/>
        <v>0.59022611709693773</v>
      </c>
      <c r="H28" s="111"/>
      <c r="I28" s="132"/>
      <c r="J28" s="109"/>
      <c r="K28" s="10" t="s">
        <v>78</v>
      </c>
      <c r="L28" s="11">
        <v>118466</v>
      </c>
      <c r="M28" s="11">
        <v>118466</v>
      </c>
      <c r="N28" s="11">
        <f t="shared" si="4"/>
        <v>0</v>
      </c>
      <c r="O28" s="14">
        <f t="shared" si="1"/>
        <v>0</v>
      </c>
    </row>
    <row r="29" spans="1:20" s="4" customFormat="1" ht="39.6">
      <c r="A29" s="22"/>
      <c r="B29" s="23"/>
      <c r="C29" s="23"/>
      <c r="D29" s="24"/>
      <c r="E29" s="24"/>
      <c r="F29" s="24"/>
      <c r="G29" s="25"/>
      <c r="H29" s="111"/>
      <c r="I29" s="132"/>
      <c r="J29" s="109"/>
      <c r="K29" s="10" t="s">
        <v>79</v>
      </c>
      <c r="L29" s="11">
        <v>15600</v>
      </c>
      <c r="M29" s="11">
        <v>15600</v>
      </c>
      <c r="N29" s="11">
        <f t="shared" si="4"/>
        <v>0</v>
      </c>
      <c r="O29" s="14">
        <f t="shared" si="1"/>
        <v>0</v>
      </c>
    </row>
    <row r="30" spans="1:20" ht="39" customHeight="1">
      <c r="A30" s="4"/>
      <c r="B30" s="4"/>
      <c r="C30" s="4"/>
      <c r="D30" s="4"/>
      <c r="E30" s="4"/>
      <c r="F30" s="26"/>
      <c r="G30" s="4"/>
      <c r="H30" s="111"/>
      <c r="I30" s="132"/>
      <c r="J30" s="109"/>
      <c r="K30" s="10" t="s">
        <v>80</v>
      </c>
      <c r="L30" s="11">
        <v>1200</v>
      </c>
      <c r="M30" s="11">
        <v>1200</v>
      </c>
      <c r="N30" s="11">
        <f t="shared" si="4"/>
        <v>0</v>
      </c>
      <c r="O30" s="14">
        <f t="shared" si="1"/>
        <v>0</v>
      </c>
    </row>
    <row r="31" spans="1:20" s="4" customFormat="1" ht="43.5" customHeight="1">
      <c r="H31" s="111"/>
      <c r="I31" s="133"/>
      <c r="J31" s="102" t="s">
        <v>81</v>
      </c>
      <c r="K31" s="102" t="s">
        <v>81</v>
      </c>
      <c r="L31" s="11">
        <v>7800</v>
      </c>
      <c r="M31" s="11">
        <v>7800</v>
      </c>
      <c r="N31" s="11">
        <f t="shared" si="4"/>
        <v>0</v>
      </c>
      <c r="O31" s="14">
        <f t="shared" si="1"/>
        <v>0</v>
      </c>
    </row>
    <row r="32" spans="1:20" s="4" customFormat="1" ht="26.4">
      <c r="H32" s="111"/>
      <c r="I32" s="128" t="s">
        <v>82</v>
      </c>
      <c r="J32" s="128" t="s">
        <v>83</v>
      </c>
      <c r="K32" s="10" t="s">
        <v>84</v>
      </c>
      <c r="L32" s="11">
        <v>2400</v>
      </c>
      <c r="M32" s="11">
        <v>2400</v>
      </c>
      <c r="N32" s="11">
        <f t="shared" si="4"/>
        <v>0</v>
      </c>
      <c r="O32" s="14">
        <f t="shared" si="1"/>
        <v>0</v>
      </c>
      <c r="T32" s="15"/>
    </row>
    <row r="33" spans="8:15" s="4" customFormat="1" ht="39" customHeight="1">
      <c r="H33" s="111"/>
      <c r="I33" s="132"/>
      <c r="J33" s="133"/>
      <c r="K33" s="10" t="s">
        <v>85</v>
      </c>
      <c r="L33" s="11">
        <v>4682</v>
      </c>
      <c r="M33" s="11">
        <v>4682</v>
      </c>
      <c r="N33" s="11">
        <f t="shared" si="4"/>
        <v>0</v>
      </c>
      <c r="O33" s="14">
        <f t="shared" si="1"/>
        <v>0</v>
      </c>
    </row>
    <row r="34" spans="8:15" s="4" customFormat="1" ht="41.25" customHeight="1">
      <c r="H34" s="111"/>
      <c r="I34" s="133"/>
      <c r="J34" s="101" t="s">
        <v>86</v>
      </c>
      <c r="K34" s="10" t="s">
        <v>87</v>
      </c>
      <c r="L34" s="11">
        <v>3000</v>
      </c>
      <c r="M34" s="11">
        <v>3000</v>
      </c>
      <c r="N34" s="11">
        <f t="shared" si="4"/>
        <v>0</v>
      </c>
      <c r="O34" s="14">
        <f t="shared" si="1"/>
        <v>0</v>
      </c>
    </row>
    <row r="35" spans="8:15" s="4" customFormat="1" ht="26.4">
      <c r="H35" s="111"/>
      <c r="I35" s="113" t="s">
        <v>88</v>
      </c>
      <c r="J35" s="102" t="s">
        <v>89</v>
      </c>
      <c r="K35" s="10" t="s">
        <v>90</v>
      </c>
      <c r="L35" s="11">
        <v>4856</v>
      </c>
      <c r="M35" s="11">
        <v>4856</v>
      </c>
      <c r="N35" s="11">
        <f t="shared" si="4"/>
        <v>0</v>
      </c>
      <c r="O35" s="14">
        <f t="shared" si="1"/>
        <v>0</v>
      </c>
    </row>
    <row r="36" spans="8:15" s="4" customFormat="1" ht="39.6">
      <c r="H36" s="111"/>
      <c r="I36" s="109"/>
      <c r="J36" s="102" t="s">
        <v>91</v>
      </c>
      <c r="K36" s="10" t="s">
        <v>92</v>
      </c>
      <c r="L36" s="11">
        <v>200</v>
      </c>
      <c r="M36" s="11">
        <v>200</v>
      </c>
      <c r="N36" s="11">
        <f t="shared" si="4"/>
        <v>0</v>
      </c>
      <c r="O36" s="14">
        <f t="shared" si="1"/>
        <v>0</v>
      </c>
    </row>
    <row r="37" spans="8:15" s="4" customFormat="1" ht="26.4">
      <c r="H37" s="111"/>
      <c r="I37" s="109"/>
      <c r="J37" s="102" t="s">
        <v>93</v>
      </c>
      <c r="K37" s="10" t="s">
        <v>94</v>
      </c>
      <c r="L37" s="11">
        <v>300</v>
      </c>
      <c r="M37" s="11">
        <v>300</v>
      </c>
      <c r="N37" s="11">
        <f t="shared" si="4"/>
        <v>0</v>
      </c>
      <c r="O37" s="14">
        <f t="shared" si="1"/>
        <v>0</v>
      </c>
    </row>
    <row r="38" spans="8:15" s="4" customFormat="1" ht="52.8">
      <c r="H38" s="111"/>
      <c r="I38" s="102" t="s">
        <v>95</v>
      </c>
      <c r="J38" s="102" t="s">
        <v>95</v>
      </c>
      <c r="K38" s="10" t="s">
        <v>96</v>
      </c>
      <c r="L38" s="11">
        <v>881</v>
      </c>
      <c r="M38" s="11">
        <v>881</v>
      </c>
      <c r="N38" s="11">
        <f t="shared" si="4"/>
        <v>0</v>
      </c>
      <c r="O38" s="14">
        <f t="shared" si="1"/>
        <v>0</v>
      </c>
    </row>
    <row r="39" spans="8:15" s="4" customFormat="1" ht="73.95" customHeight="1">
      <c r="H39" s="112"/>
      <c r="I39" s="102" t="s">
        <v>97</v>
      </c>
      <c r="J39" s="102" t="s">
        <v>97</v>
      </c>
      <c r="K39" s="10" t="s">
        <v>97</v>
      </c>
      <c r="L39" s="11">
        <v>1200</v>
      </c>
      <c r="M39" s="11">
        <v>1200</v>
      </c>
      <c r="N39" s="11">
        <f t="shared" si="4"/>
        <v>0</v>
      </c>
      <c r="O39" s="14">
        <f t="shared" si="1"/>
        <v>0</v>
      </c>
    </row>
    <row r="40" spans="8:15" s="4" customFormat="1" ht="16.5" customHeight="1">
      <c r="H40" s="126" t="s">
        <v>98</v>
      </c>
      <c r="I40" s="127"/>
      <c r="J40" s="127"/>
      <c r="K40" s="127"/>
      <c r="L40" s="17">
        <f>SUM(L20:L39)</f>
        <v>368350</v>
      </c>
      <c r="M40" s="17">
        <f>SUM(M20:M39)</f>
        <v>369350</v>
      </c>
      <c r="N40" s="17">
        <f>SUM(N20:N39)</f>
        <v>1000</v>
      </c>
      <c r="O40" s="19">
        <f t="shared" si="1"/>
        <v>0.27148092846477534</v>
      </c>
    </row>
    <row r="41" spans="8:15" s="4" customFormat="1">
      <c r="H41" s="130" t="s">
        <v>99</v>
      </c>
      <c r="I41" s="113" t="s">
        <v>99</v>
      </c>
      <c r="J41" s="113" t="s">
        <v>100</v>
      </c>
      <c r="K41" s="10" t="s">
        <v>100</v>
      </c>
      <c r="L41" s="11">
        <v>805</v>
      </c>
      <c r="M41" s="11">
        <v>805</v>
      </c>
      <c r="N41" s="11">
        <f>M41-L41</f>
        <v>0</v>
      </c>
      <c r="O41" s="14">
        <f t="shared" si="1"/>
        <v>0</v>
      </c>
    </row>
    <row r="42" spans="8:15" s="4" customFormat="1" ht="39.6">
      <c r="H42" s="131"/>
      <c r="I42" s="109"/>
      <c r="J42" s="109"/>
      <c r="K42" s="10" t="s">
        <v>101</v>
      </c>
      <c r="L42" s="11">
        <v>10670</v>
      </c>
      <c r="M42" s="11">
        <v>14000</v>
      </c>
      <c r="N42" s="11">
        <f>M42-L42</f>
        <v>3330</v>
      </c>
      <c r="O42" s="14">
        <f t="shared" si="1"/>
        <v>31.208997188378635</v>
      </c>
    </row>
    <row r="43" spans="8:15" s="4" customFormat="1" ht="16.5" customHeight="1">
      <c r="H43" s="131"/>
      <c r="I43" s="109"/>
      <c r="J43" s="102" t="s">
        <v>102</v>
      </c>
      <c r="K43" s="10" t="s">
        <v>102</v>
      </c>
      <c r="L43" s="11">
        <v>9695</v>
      </c>
      <c r="M43" s="11">
        <v>9697</v>
      </c>
      <c r="N43" s="11">
        <f>M43-L43</f>
        <v>2</v>
      </c>
      <c r="O43" s="14">
        <f t="shared" si="1"/>
        <v>2.0629190304280558E-2</v>
      </c>
    </row>
    <row r="44" spans="8:15" s="4" customFormat="1" ht="17.25" customHeight="1">
      <c r="H44" s="126" t="s">
        <v>103</v>
      </c>
      <c r="I44" s="127"/>
      <c r="J44" s="127"/>
      <c r="K44" s="127"/>
      <c r="L44" s="17">
        <f>SUM(L41:L43)</f>
        <v>21170</v>
      </c>
      <c r="M44" s="17">
        <f>SUM(M41:M43)</f>
        <v>24502</v>
      </c>
      <c r="N44" s="17">
        <f>SUM(N41:N43)</f>
        <v>3332</v>
      </c>
      <c r="O44" s="19">
        <f t="shared" si="1"/>
        <v>15.739253660840813</v>
      </c>
    </row>
    <row r="45" spans="8:15" s="4" customFormat="1" ht="18" thickBot="1">
      <c r="H45" s="138" t="s">
        <v>104</v>
      </c>
      <c r="I45" s="139"/>
      <c r="J45" s="139"/>
      <c r="K45" s="139"/>
      <c r="L45" s="27">
        <f>L16+L19+L40+L44</f>
        <v>733956</v>
      </c>
      <c r="M45" s="27">
        <f>M16+M19+M40+M44</f>
        <v>738289</v>
      </c>
      <c r="N45" s="27">
        <f>N16+N19+N40+N44</f>
        <v>4333</v>
      </c>
      <c r="O45" s="28">
        <f t="shared" si="1"/>
        <v>0.59036236504640605</v>
      </c>
    </row>
    <row r="46" spans="8:15" s="4" customFormat="1"/>
  </sheetData>
  <mergeCells count="42">
    <mergeCell ref="I41:I43"/>
    <mergeCell ref="J41:J42"/>
    <mergeCell ref="H44:K44"/>
    <mergeCell ref="H45:K45"/>
    <mergeCell ref="J26:J30"/>
    <mergeCell ref="H40:K40"/>
    <mergeCell ref="H41:H43"/>
    <mergeCell ref="A27:C27"/>
    <mergeCell ref="A28:C28"/>
    <mergeCell ref="I32:I34"/>
    <mergeCell ref="J32:J33"/>
    <mergeCell ref="I35:I37"/>
    <mergeCell ref="H20:H39"/>
    <mergeCell ref="I20:I23"/>
    <mergeCell ref="A21:C21"/>
    <mergeCell ref="A22:A23"/>
    <mergeCell ref="A24:C24"/>
    <mergeCell ref="I24:I31"/>
    <mergeCell ref="A25:A26"/>
    <mergeCell ref="A19:C19"/>
    <mergeCell ref="H19:K19"/>
    <mergeCell ref="L3:L4"/>
    <mergeCell ref="M3:M4"/>
    <mergeCell ref="N3:N4"/>
    <mergeCell ref="A16:A18"/>
    <mergeCell ref="B16:B17"/>
    <mergeCell ref="H16:K16"/>
    <mergeCell ref="H17:H18"/>
    <mergeCell ref="I17:I18"/>
    <mergeCell ref="O3:O4"/>
    <mergeCell ref="A5:A14"/>
    <mergeCell ref="H5:H15"/>
    <mergeCell ref="I5:I9"/>
    <mergeCell ref="B6:B14"/>
    <mergeCell ref="I11:I15"/>
    <mergeCell ref="A15:C15"/>
    <mergeCell ref="A3:C3"/>
    <mergeCell ref="D3:D4"/>
    <mergeCell ref="E3:E4"/>
    <mergeCell ref="F3:F4"/>
    <mergeCell ref="G3:G4"/>
    <mergeCell ref="H3:K3"/>
  </mergeCells>
  <phoneticPr fontId="3" type="noConversion"/>
  <pageMargins left="0.51181102362204722" right="0.31496062992125984" top="0.55118110236220474" bottom="0.74803149606299213" header="0.31496062992125984" footer="0.51181102362204722"/>
  <pageSetup paperSize="9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1C89-203F-4FB1-B533-9E4234C96F36}">
  <dimension ref="A1:L92"/>
  <sheetViews>
    <sheetView topLeftCell="A37" zoomScale="115" zoomScaleNormal="115" workbookViewId="0">
      <selection activeCell="N7" sqref="N7"/>
    </sheetView>
  </sheetViews>
  <sheetFormatPr defaultRowHeight="17.399999999999999"/>
  <cols>
    <col min="1" max="1" width="5.69921875" customWidth="1"/>
    <col min="2" max="2" width="5.19921875" customWidth="1"/>
    <col min="3" max="3" width="6" customWidth="1"/>
    <col min="4" max="4" width="10.09765625" customWidth="1"/>
    <col min="5" max="6" width="10.3984375" customWidth="1"/>
    <col min="7" max="8" width="9.69921875" customWidth="1"/>
    <col min="9" max="9" width="11" customWidth="1"/>
    <col min="10" max="10" width="9.8984375" customWidth="1"/>
    <col min="11" max="11" width="6" customWidth="1"/>
    <col min="12" max="12" width="29.59765625" customWidth="1"/>
    <col min="251" max="251" width="5.69921875" customWidth="1"/>
    <col min="252" max="252" width="5.19921875" customWidth="1"/>
    <col min="253" max="253" width="6" customWidth="1"/>
    <col min="254" max="254" width="10.09765625" customWidth="1"/>
    <col min="255" max="256" width="10.3984375" customWidth="1"/>
    <col min="257" max="258" width="9.69921875" customWidth="1"/>
    <col min="259" max="259" width="11" customWidth="1"/>
    <col min="260" max="260" width="9.8984375" customWidth="1"/>
    <col min="261" max="261" width="6" customWidth="1"/>
    <col min="262" max="262" width="29.59765625" customWidth="1"/>
    <col min="265" max="266" width="10.8984375" bestFit="1" customWidth="1"/>
    <col min="267" max="267" width="10.19921875" customWidth="1"/>
    <col min="507" max="507" width="5.69921875" customWidth="1"/>
    <col min="508" max="508" width="5.19921875" customWidth="1"/>
    <col min="509" max="509" width="6" customWidth="1"/>
    <col min="510" max="510" width="10.09765625" customWidth="1"/>
    <col min="511" max="512" width="10.3984375" customWidth="1"/>
    <col min="513" max="514" width="9.69921875" customWidth="1"/>
    <col min="515" max="515" width="11" customWidth="1"/>
    <col min="516" max="516" width="9.8984375" customWidth="1"/>
    <col min="517" max="517" width="6" customWidth="1"/>
    <col min="518" max="518" width="29.59765625" customWidth="1"/>
    <col min="521" max="522" width="10.8984375" bestFit="1" customWidth="1"/>
    <col min="523" max="523" width="10.19921875" customWidth="1"/>
    <col min="763" max="763" width="5.69921875" customWidth="1"/>
    <col min="764" max="764" width="5.19921875" customWidth="1"/>
    <col min="765" max="765" width="6" customWidth="1"/>
    <col min="766" max="766" width="10.09765625" customWidth="1"/>
    <col min="767" max="768" width="10.3984375" customWidth="1"/>
    <col min="769" max="770" width="9.69921875" customWidth="1"/>
    <col min="771" max="771" width="11" customWidth="1"/>
    <col min="772" max="772" width="9.8984375" customWidth="1"/>
    <col min="773" max="773" width="6" customWidth="1"/>
    <col min="774" max="774" width="29.59765625" customWidth="1"/>
    <col min="777" max="778" width="10.8984375" bestFit="1" customWidth="1"/>
    <col min="779" max="779" width="10.19921875" customWidth="1"/>
    <col min="1019" max="1019" width="5.69921875" customWidth="1"/>
    <col min="1020" max="1020" width="5.19921875" customWidth="1"/>
    <col min="1021" max="1021" width="6" customWidth="1"/>
    <col min="1022" max="1022" width="10.09765625" customWidth="1"/>
    <col min="1023" max="1024" width="10.3984375" customWidth="1"/>
    <col min="1025" max="1026" width="9.69921875" customWidth="1"/>
    <col min="1027" max="1027" width="11" customWidth="1"/>
    <col min="1028" max="1028" width="9.8984375" customWidth="1"/>
    <col min="1029" max="1029" width="6" customWidth="1"/>
    <col min="1030" max="1030" width="29.59765625" customWidth="1"/>
    <col min="1033" max="1034" width="10.8984375" bestFit="1" customWidth="1"/>
    <col min="1035" max="1035" width="10.19921875" customWidth="1"/>
    <col min="1275" max="1275" width="5.69921875" customWidth="1"/>
    <col min="1276" max="1276" width="5.19921875" customWidth="1"/>
    <col min="1277" max="1277" width="6" customWidth="1"/>
    <col min="1278" max="1278" width="10.09765625" customWidth="1"/>
    <col min="1279" max="1280" width="10.3984375" customWidth="1"/>
    <col min="1281" max="1282" width="9.69921875" customWidth="1"/>
    <col min="1283" max="1283" width="11" customWidth="1"/>
    <col min="1284" max="1284" width="9.8984375" customWidth="1"/>
    <col min="1285" max="1285" width="6" customWidth="1"/>
    <col min="1286" max="1286" width="29.59765625" customWidth="1"/>
    <col min="1289" max="1290" width="10.8984375" bestFit="1" customWidth="1"/>
    <col min="1291" max="1291" width="10.19921875" customWidth="1"/>
    <col min="1531" max="1531" width="5.69921875" customWidth="1"/>
    <col min="1532" max="1532" width="5.19921875" customWidth="1"/>
    <col min="1533" max="1533" width="6" customWidth="1"/>
    <col min="1534" max="1534" width="10.09765625" customWidth="1"/>
    <col min="1535" max="1536" width="10.3984375" customWidth="1"/>
    <col min="1537" max="1538" width="9.69921875" customWidth="1"/>
    <col min="1539" max="1539" width="11" customWidth="1"/>
    <col min="1540" max="1540" width="9.8984375" customWidth="1"/>
    <col min="1541" max="1541" width="6" customWidth="1"/>
    <col min="1542" max="1542" width="29.59765625" customWidth="1"/>
    <col min="1545" max="1546" width="10.8984375" bestFit="1" customWidth="1"/>
    <col min="1547" max="1547" width="10.19921875" customWidth="1"/>
    <col min="1787" max="1787" width="5.69921875" customWidth="1"/>
    <col min="1788" max="1788" width="5.19921875" customWidth="1"/>
    <col min="1789" max="1789" width="6" customWidth="1"/>
    <col min="1790" max="1790" width="10.09765625" customWidth="1"/>
    <col min="1791" max="1792" width="10.3984375" customWidth="1"/>
    <col min="1793" max="1794" width="9.69921875" customWidth="1"/>
    <col min="1795" max="1795" width="11" customWidth="1"/>
    <col min="1796" max="1796" width="9.8984375" customWidth="1"/>
    <col min="1797" max="1797" width="6" customWidth="1"/>
    <col min="1798" max="1798" width="29.59765625" customWidth="1"/>
    <col min="1801" max="1802" width="10.8984375" bestFit="1" customWidth="1"/>
    <col min="1803" max="1803" width="10.19921875" customWidth="1"/>
    <col min="2043" max="2043" width="5.69921875" customWidth="1"/>
    <col min="2044" max="2044" width="5.19921875" customWidth="1"/>
    <col min="2045" max="2045" width="6" customWidth="1"/>
    <col min="2046" max="2046" width="10.09765625" customWidth="1"/>
    <col min="2047" max="2048" width="10.3984375" customWidth="1"/>
    <col min="2049" max="2050" width="9.69921875" customWidth="1"/>
    <col min="2051" max="2051" width="11" customWidth="1"/>
    <col min="2052" max="2052" width="9.8984375" customWidth="1"/>
    <col min="2053" max="2053" width="6" customWidth="1"/>
    <col min="2054" max="2054" width="29.59765625" customWidth="1"/>
    <col min="2057" max="2058" width="10.8984375" bestFit="1" customWidth="1"/>
    <col min="2059" max="2059" width="10.19921875" customWidth="1"/>
    <col min="2299" max="2299" width="5.69921875" customWidth="1"/>
    <col min="2300" max="2300" width="5.19921875" customWidth="1"/>
    <col min="2301" max="2301" width="6" customWidth="1"/>
    <col min="2302" max="2302" width="10.09765625" customWidth="1"/>
    <col min="2303" max="2304" width="10.3984375" customWidth="1"/>
    <col min="2305" max="2306" width="9.69921875" customWidth="1"/>
    <col min="2307" max="2307" width="11" customWidth="1"/>
    <col min="2308" max="2308" width="9.8984375" customWidth="1"/>
    <col min="2309" max="2309" width="6" customWidth="1"/>
    <col min="2310" max="2310" width="29.59765625" customWidth="1"/>
    <col min="2313" max="2314" width="10.8984375" bestFit="1" customWidth="1"/>
    <col min="2315" max="2315" width="10.19921875" customWidth="1"/>
    <col min="2555" max="2555" width="5.69921875" customWidth="1"/>
    <col min="2556" max="2556" width="5.19921875" customWidth="1"/>
    <col min="2557" max="2557" width="6" customWidth="1"/>
    <col min="2558" max="2558" width="10.09765625" customWidth="1"/>
    <col min="2559" max="2560" width="10.3984375" customWidth="1"/>
    <col min="2561" max="2562" width="9.69921875" customWidth="1"/>
    <col min="2563" max="2563" width="11" customWidth="1"/>
    <col min="2564" max="2564" width="9.8984375" customWidth="1"/>
    <col min="2565" max="2565" width="6" customWidth="1"/>
    <col min="2566" max="2566" width="29.59765625" customWidth="1"/>
    <col min="2569" max="2570" width="10.8984375" bestFit="1" customWidth="1"/>
    <col min="2571" max="2571" width="10.19921875" customWidth="1"/>
    <col min="2811" max="2811" width="5.69921875" customWidth="1"/>
    <col min="2812" max="2812" width="5.19921875" customWidth="1"/>
    <col min="2813" max="2813" width="6" customWidth="1"/>
    <col min="2814" max="2814" width="10.09765625" customWidth="1"/>
    <col min="2815" max="2816" width="10.3984375" customWidth="1"/>
    <col min="2817" max="2818" width="9.69921875" customWidth="1"/>
    <col min="2819" max="2819" width="11" customWidth="1"/>
    <col min="2820" max="2820" width="9.8984375" customWidth="1"/>
    <col min="2821" max="2821" width="6" customWidth="1"/>
    <col min="2822" max="2822" width="29.59765625" customWidth="1"/>
    <col min="2825" max="2826" width="10.8984375" bestFit="1" customWidth="1"/>
    <col min="2827" max="2827" width="10.19921875" customWidth="1"/>
    <col min="3067" max="3067" width="5.69921875" customWidth="1"/>
    <col min="3068" max="3068" width="5.19921875" customWidth="1"/>
    <col min="3069" max="3069" width="6" customWidth="1"/>
    <col min="3070" max="3070" width="10.09765625" customWidth="1"/>
    <col min="3071" max="3072" width="10.3984375" customWidth="1"/>
    <col min="3073" max="3074" width="9.69921875" customWidth="1"/>
    <col min="3075" max="3075" width="11" customWidth="1"/>
    <col min="3076" max="3076" width="9.8984375" customWidth="1"/>
    <col min="3077" max="3077" width="6" customWidth="1"/>
    <col min="3078" max="3078" width="29.59765625" customWidth="1"/>
    <col min="3081" max="3082" width="10.8984375" bestFit="1" customWidth="1"/>
    <col min="3083" max="3083" width="10.19921875" customWidth="1"/>
    <col min="3323" max="3323" width="5.69921875" customWidth="1"/>
    <col min="3324" max="3324" width="5.19921875" customWidth="1"/>
    <col min="3325" max="3325" width="6" customWidth="1"/>
    <col min="3326" max="3326" width="10.09765625" customWidth="1"/>
    <col min="3327" max="3328" width="10.3984375" customWidth="1"/>
    <col min="3329" max="3330" width="9.69921875" customWidth="1"/>
    <col min="3331" max="3331" width="11" customWidth="1"/>
    <col min="3332" max="3332" width="9.8984375" customWidth="1"/>
    <col min="3333" max="3333" width="6" customWidth="1"/>
    <col min="3334" max="3334" width="29.59765625" customWidth="1"/>
    <col min="3337" max="3338" width="10.8984375" bestFit="1" customWidth="1"/>
    <col min="3339" max="3339" width="10.19921875" customWidth="1"/>
    <col min="3579" max="3579" width="5.69921875" customWidth="1"/>
    <col min="3580" max="3580" width="5.19921875" customWidth="1"/>
    <col min="3581" max="3581" width="6" customWidth="1"/>
    <col min="3582" max="3582" width="10.09765625" customWidth="1"/>
    <col min="3583" max="3584" width="10.3984375" customWidth="1"/>
    <col min="3585" max="3586" width="9.69921875" customWidth="1"/>
    <col min="3587" max="3587" width="11" customWidth="1"/>
    <col min="3588" max="3588" width="9.8984375" customWidth="1"/>
    <col min="3589" max="3589" width="6" customWidth="1"/>
    <col min="3590" max="3590" width="29.59765625" customWidth="1"/>
    <col min="3593" max="3594" width="10.8984375" bestFit="1" customWidth="1"/>
    <col min="3595" max="3595" width="10.19921875" customWidth="1"/>
    <col min="3835" max="3835" width="5.69921875" customWidth="1"/>
    <col min="3836" max="3836" width="5.19921875" customWidth="1"/>
    <col min="3837" max="3837" width="6" customWidth="1"/>
    <col min="3838" max="3838" width="10.09765625" customWidth="1"/>
    <col min="3839" max="3840" width="10.3984375" customWidth="1"/>
    <col min="3841" max="3842" width="9.69921875" customWidth="1"/>
    <col min="3843" max="3843" width="11" customWidth="1"/>
    <col min="3844" max="3844" width="9.8984375" customWidth="1"/>
    <col min="3845" max="3845" width="6" customWidth="1"/>
    <col min="3846" max="3846" width="29.59765625" customWidth="1"/>
    <col min="3849" max="3850" width="10.8984375" bestFit="1" customWidth="1"/>
    <col min="3851" max="3851" width="10.19921875" customWidth="1"/>
    <col min="4091" max="4091" width="5.69921875" customWidth="1"/>
    <col min="4092" max="4092" width="5.19921875" customWidth="1"/>
    <col min="4093" max="4093" width="6" customWidth="1"/>
    <col min="4094" max="4094" width="10.09765625" customWidth="1"/>
    <col min="4095" max="4096" width="10.3984375" customWidth="1"/>
    <col min="4097" max="4098" width="9.69921875" customWidth="1"/>
    <col min="4099" max="4099" width="11" customWidth="1"/>
    <col min="4100" max="4100" width="9.8984375" customWidth="1"/>
    <col min="4101" max="4101" width="6" customWidth="1"/>
    <col min="4102" max="4102" width="29.59765625" customWidth="1"/>
    <col min="4105" max="4106" width="10.8984375" bestFit="1" customWidth="1"/>
    <col min="4107" max="4107" width="10.19921875" customWidth="1"/>
    <col min="4347" max="4347" width="5.69921875" customWidth="1"/>
    <col min="4348" max="4348" width="5.19921875" customWidth="1"/>
    <col min="4349" max="4349" width="6" customWidth="1"/>
    <col min="4350" max="4350" width="10.09765625" customWidth="1"/>
    <col min="4351" max="4352" width="10.3984375" customWidth="1"/>
    <col min="4353" max="4354" width="9.69921875" customWidth="1"/>
    <col min="4355" max="4355" width="11" customWidth="1"/>
    <col min="4356" max="4356" width="9.8984375" customWidth="1"/>
    <col min="4357" max="4357" width="6" customWidth="1"/>
    <col min="4358" max="4358" width="29.59765625" customWidth="1"/>
    <col min="4361" max="4362" width="10.8984375" bestFit="1" customWidth="1"/>
    <col min="4363" max="4363" width="10.19921875" customWidth="1"/>
    <col min="4603" max="4603" width="5.69921875" customWidth="1"/>
    <col min="4604" max="4604" width="5.19921875" customWidth="1"/>
    <col min="4605" max="4605" width="6" customWidth="1"/>
    <col min="4606" max="4606" width="10.09765625" customWidth="1"/>
    <col min="4607" max="4608" width="10.3984375" customWidth="1"/>
    <col min="4609" max="4610" width="9.69921875" customWidth="1"/>
    <col min="4611" max="4611" width="11" customWidth="1"/>
    <col min="4612" max="4612" width="9.8984375" customWidth="1"/>
    <col min="4613" max="4613" width="6" customWidth="1"/>
    <col min="4614" max="4614" width="29.59765625" customWidth="1"/>
    <col min="4617" max="4618" width="10.8984375" bestFit="1" customWidth="1"/>
    <col min="4619" max="4619" width="10.19921875" customWidth="1"/>
    <col min="4859" max="4859" width="5.69921875" customWidth="1"/>
    <col min="4860" max="4860" width="5.19921875" customWidth="1"/>
    <col min="4861" max="4861" width="6" customWidth="1"/>
    <col min="4862" max="4862" width="10.09765625" customWidth="1"/>
    <col min="4863" max="4864" width="10.3984375" customWidth="1"/>
    <col min="4865" max="4866" width="9.69921875" customWidth="1"/>
    <col min="4867" max="4867" width="11" customWidth="1"/>
    <col min="4868" max="4868" width="9.8984375" customWidth="1"/>
    <col min="4869" max="4869" width="6" customWidth="1"/>
    <col min="4870" max="4870" width="29.59765625" customWidth="1"/>
    <col min="4873" max="4874" width="10.8984375" bestFit="1" customWidth="1"/>
    <col min="4875" max="4875" width="10.19921875" customWidth="1"/>
    <col min="5115" max="5115" width="5.69921875" customWidth="1"/>
    <col min="5116" max="5116" width="5.19921875" customWidth="1"/>
    <col min="5117" max="5117" width="6" customWidth="1"/>
    <col min="5118" max="5118" width="10.09765625" customWidth="1"/>
    <col min="5119" max="5120" width="10.3984375" customWidth="1"/>
    <col min="5121" max="5122" width="9.69921875" customWidth="1"/>
    <col min="5123" max="5123" width="11" customWidth="1"/>
    <col min="5124" max="5124" width="9.8984375" customWidth="1"/>
    <col min="5125" max="5125" width="6" customWidth="1"/>
    <col min="5126" max="5126" width="29.59765625" customWidth="1"/>
    <col min="5129" max="5130" width="10.8984375" bestFit="1" customWidth="1"/>
    <col min="5131" max="5131" width="10.19921875" customWidth="1"/>
    <col min="5371" max="5371" width="5.69921875" customWidth="1"/>
    <col min="5372" max="5372" width="5.19921875" customWidth="1"/>
    <col min="5373" max="5373" width="6" customWidth="1"/>
    <col min="5374" max="5374" width="10.09765625" customWidth="1"/>
    <col min="5375" max="5376" width="10.3984375" customWidth="1"/>
    <col min="5377" max="5378" width="9.69921875" customWidth="1"/>
    <col min="5379" max="5379" width="11" customWidth="1"/>
    <col min="5380" max="5380" width="9.8984375" customWidth="1"/>
    <col min="5381" max="5381" width="6" customWidth="1"/>
    <col min="5382" max="5382" width="29.59765625" customWidth="1"/>
    <col min="5385" max="5386" width="10.8984375" bestFit="1" customWidth="1"/>
    <col min="5387" max="5387" width="10.19921875" customWidth="1"/>
    <col min="5627" max="5627" width="5.69921875" customWidth="1"/>
    <col min="5628" max="5628" width="5.19921875" customWidth="1"/>
    <col min="5629" max="5629" width="6" customWidth="1"/>
    <col min="5630" max="5630" width="10.09765625" customWidth="1"/>
    <col min="5631" max="5632" width="10.3984375" customWidth="1"/>
    <col min="5633" max="5634" width="9.69921875" customWidth="1"/>
    <col min="5635" max="5635" width="11" customWidth="1"/>
    <col min="5636" max="5636" width="9.8984375" customWidth="1"/>
    <col min="5637" max="5637" width="6" customWidth="1"/>
    <col min="5638" max="5638" width="29.59765625" customWidth="1"/>
    <col min="5641" max="5642" width="10.8984375" bestFit="1" customWidth="1"/>
    <col min="5643" max="5643" width="10.19921875" customWidth="1"/>
    <col min="5883" max="5883" width="5.69921875" customWidth="1"/>
    <col min="5884" max="5884" width="5.19921875" customWidth="1"/>
    <col min="5885" max="5885" width="6" customWidth="1"/>
    <col min="5886" max="5886" width="10.09765625" customWidth="1"/>
    <col min="5887" max="5888" width="10.3984375" customWidth="1"/>
    <col min="5889" max="5890" width="9.69921875" customWidth="1"/>
    <col min="5891" max="5891" width="11" customWidth="1"/>
    <col min="5892" max="5892" width="9.8984375" customWidth="1"/>
    <col min="5893" max="5893" width="6" customWidth="1"/>
    <col min="5894" max="5894" width="29.59765625" customWidth="1"/>
    <col min="5897" max="5898" width="10.8984375" bestFit="1" customWidth="1"/>
    <col min="5899" max="5899" width="10.19921875" customWidth="1"/>
    <col min="6139" max="6139" width="5.69921875" customWidth="1"/>
    <col min="6140" max="6140" width="5.19921875" customWidth="1"/>
    <col min="6141" max="6141" width="6" customWidth="1"/>
    <col min="6142" max="6142" width="10.09765625" customWidth="1"/>
    <col min="6143" max="6144" width="10.3984375" customWidth="1"/>
    <col min="6145" max="6146" width="9.69921875" customWidth="1"/>
    <col min="6147" max="6147" width="11" customWidth="1"/>
    <col min="6148" max="6148" width="9.8984375" customWidth="1"/>
    <col min="6149" max="6149" width="6" customWidth="1"/>
    <col min="6150" max="6150" width="29.59765625" customWidth="1"/>
    <col min="6153" max="6154" width="10.8984375" bestFit="1" customWidth="1"/>
    <col min="6155" max="6155" width="10.19921875" customWidth="1"/>
    <col min="6395" max="6395" width="5.69921875" customWidth="1"/>
    <col min="6396" max="6396" width="5.19921875" customWidth="1"/>
    <col min="6397" max="6397" width="6" customWidth="1"/>
    <col min="6398" max="6398" width="10.09765625" customWidth="1"/>
    <col min="6399" max="6400" width="10.3984375" customWidth="1"/>
    <col min="6401" max="6402" width="9.69921875" customWidth="1"/>
    <col min="6403" max="6403" width="11" customWidth="1"/>
    <col min="6404" max="6404" width="9.8984375" customWidth="1"/>
    <col min="6405" max="6405" width="6" customWidth="1"/>
    <col min="6406" max="6406" width="29.59765625" customWidth="1"/>
    <col min="6409" max="6410" width="10.8984375" bestFit="1" customWidth="1"/>
    <col min="6411" max="6411" width="10.19921875" customWidth="1"/>
    <col min="6651" max="6651" width="5.69921875" customWidth="1"/>
    <col min="6652" max="6652" width="5.19921875" customWidth="1"/>
    <col min="6653" max="6653" width="6" customWidth="1"/>
    <col min="6654" max="6654" width="10.09765625" customWidth="1"/>
    <col min="6655" max="6656" width="10.3984375" customWidth="1"/>
    <col min="6657" max="6658" width="9.69921875" customWidth="1"/>
    <col min="6659" max="6659" width="11" customWidth="1"/>
    <col min="6660" max="6660" width="9.8984375" customWidth="1"/>
    <col min="6661" max="6661" width="6" customWidth="1"/>
    <col min="6662" max="6662" width="29.59765625" customWidth="1"/>
    <col min="6665" max="6666" width="10.8984375" bestFit="1" customWidth="1"/>
    <col min="6667" max="6667" width="10.19921875" customWidth="1"/>
    <col min="6907" max="6907" width="5.69921875" customWidth="1"/>
    <col min="6908" max="6908" width="5.19921875" customWidth="1"/>
    <col min="6909" max="6909" width="6" customWidth="1"/>
    <col min="6910" max="6910" width="10.09765625" customWidth="1"/>
    <col min="6911" max="6912" width="10.3984375" customWidth="1"/>
    <col min="6913" max="6914" width="9.69921875" customWidth="1"/>
    <col min="6915" max="6915" width="11" customWidth="1"/>
    <col min="6916" max="6916" width="9.8984375" customWidth="1"/>
    <col min="6917" max="6917" width="6" customWidth="1"/>
    <col min="6918" max="6918" width="29.59765625" customWidth="1"/>
    <col min="6921" max="6922" width="10.8984375" bestFit="1" customWidth="1"/>
    <col min="6923" max="6923" width="10.19921875" customWidth="1"/>
    <col min="7163" max="7163" width="5.69921875" customWidth="1"/>
    <col min="7164" max="7164" width="5.19921875" customWidth="1"/>
    <col min="7165" max="7165" width="6" customWidth="1"/>
    <col min="7166" max="7166" width="10.09765625" customWidth="1"/>
    <col min="7167" max="7168" width="10.3984375" customWidth="1"/>
    <col min="7169" max="7170" width="9.69921875" customWidth="1"/>
    <col min="7171" max="7171" width="11" customWidth="1"/>
    <col min="7172" max="7172" width="9.8984375" customWidth="1"/>
    <col min="7173" max="7173" width="6" customWidth="1"/>
    <col min="7174" max="7174" width="29.59765625" customWidth="1"/>
    <col min="7177" max="7178" width="10.8984375" bestFit="1" customWidth="1"/>
    <col min="7179" max="7179" width="10.19921875" customWidth="1"/>
    <col min="7419" max="7419" width="5.69921875" customWidth="1"/>
    <col min="7420" max="7420" width="5.19921875" customWidth="1"/>
    <col min="7421" max="7421" width="6" customWidth="1"/>
    <col min="7422" max="7422" width="10.09765625" customWidth="1"/>
    <col min="7423" max="7424" width="10.3984375" customWidth="1"/>
    <col min="7425" max="7426" width="9.69921875" customWidth="1"/>
    <col min="7427" max="7427" width="11" customWidth="1"/>
    <col min="7428" max="7428" width="9.8984375" customWidth="1"/>
    <col min="7429" max="7429" width="6" customWidth="1"/>
    <col min="7430" max="7430" width="29.59765625" customWidth="1"/>
    <col min="7433" max="7434" width="10.8984375" bestFit="1" customWidth="1"/>
    <col min="7435" max="7435" width="10.19921875" customWidth="1"/>
    <col min="7675" max="7675" width="5.69921875" customWidth="1"/>
    <col min="7676" max="7676" width="5.19921875" customWidth="1"/>
    <col min="7677" max="7677" width="6" customWidth="1"/>
    <col min="7678" max="7678" width="10.09765625" customWidth="1"/>
    <col min="7679" max="7680" width="10.3984375" customWidth="1"/>
    <col min="7681" max="7682" width="9.69921875" customWidth="1"/>
    <col min="7683" max="7683" width="11" customWidth="1"/>
    <col min="7684" max="7684" width="9.8984375" customWidth="1"/>
    <col min="7685" max="7685" width="6" customWidth="1"/>
    <col min="7686" max="7686" width="29.59765625" customWidth="1"/>
    <col min="7689" max="7690" width="10.8984375" bestFit="1" customWidth="1"/>
    <col min="7691" max="7691" width="10.19921875" customWidth="1"/>
    <col min="7931" max="7931" width="5.69921875" customWidth="1"/>
    <col min="7932" max="7932" width="5.19921875" customWidth="1"/>
    <col min="7933" max="7933" width="6" customWidth="1"/>
    <col min="7934" max="7934" width="10.09765625" customWidth="1"/>
    <col min="7935" max="7936" width="10.3984375" customWidth="1"/>
    <col min="7937" max="7938" width="9.69921875" customWidth="1"/>
    <col min="7939" max="7939" width="11" customWidth="1"/>
    <col min="7940" max="7940" width="9.8984375" customWidth="1"/>
    <col min="7941" max="7941" width="6" customWidth="1"/>
    <col min="7942" max="7942" width="29.59765625" customWidth="1"/>
    <col min="7945" max="7946" width="10.8984375" bestFit="1" customWidth="1"/>
    <col min="7947" max="7947" width="10.19921875" customWidth="1"/>
    <col min="8187" max="8187" width="5.69921875" customWidth="1"/>
    <col min="8188" max="8188" width="5.19921875" customWidth="1"/>
    <col min="8189" max="8189" width="6" customWidth="1"/>
    <col min="8190" max="8190" width="10.09765625" customWidth="1"/>
    <col min="8191" max="8192" width="10.3984375" customWidth="1"/>
    <col min="8193" max="8194" width="9.69921875" customWidth="1"/>
    <col min="8195" max="8195" width="11" customWidth="1"/>
    <col min="8196" max="8196" width="9.8984375" customWidth="1"/>
    <col min="8197" max="8197" width="6" customWidth="1"/>
    <col min="8198" max="8198" width="29.59765625" customWidth="1"/>
    <col min="8201" max="8202" width="10.8984375" bestFit="1" customWidth="1"/>
    <col min="8203" max="8203" width="10.19921875" customWidth="1"/>
    <col min="8443" max="8443" width="5.69921875" customWidth="1"/>
    <col min="8444" max="8444" width="5.19921875" customWidth="1"/>
    <col min="8445" max="8445" width="6" customWidth="1"/>
    <col min="8446" max="8446" width="10.09765625" customWidth="1"/>
    <col min="8447" max="8448" width="10.3984375" customWidth="1"/>
    <col min="8449" max="8450" width="9.69921875" customWidth="1"/>
    <col min="8451" max="8451" width="11" customWidth="1"/>
    <col min="8452" max="8452" width="9.8984375" customWidth="1"/>
    <col min="8453" max="8453" width="6" customWidth="1"/>
    <col min="8454" max="8454" width="29.59765625" customWidth="1"/>
    <col min="8457" max="8458" width="10.8984375" bestFit="1" customWidth="1"/>
    <col min="8459" max="8459" width="10.19921875" customWidth="1"/>
    <col min="8699" max="8699" width="5.69921875" customWidth="1"/>
    <col min="8700" max="8700" width="5.19921875" customWidth="1"/>
    <col min="8701" max="8701" width="6" customWidth="1"/>
    <col min="8702" max="8702" width="10.09765625" customWidth="1"/>
    <col min="8703" max="8704" width="10.3984375" customWidth="1"/>
    <col min="8705" max="8706" width="9.69921875" customWidth="1"/>
    <col min="8707" max="8707" width="11" customWidth="1"/>
    <col min="8708" max="8708" width="9.8984375" customWidth="1"/>
    <col min="8709" max="8709" width="6" customWidth="1"/>
    <col min="8710" max="8710" width="29.59765625" customWidth="1"/>
    <col min="8713" max="8714" width="10.8984375" bestFit="1" customWidth="1"/>
    <col min="8715" max="8715" width="10.19921875" customWidth="1"/>
    <col min="8955" max="8955" width="5.69921875" customWidth="1"/>
    <col min="8956" max="8956" width="5.19921875" customWidth="1"/>
    <col min="8957" max="8957" width="6" customWidth="1"/>
    <col min="8958" max="8958" width="10.09765625" customWidth="1"/>
    <col min="8959" max="8960" width="10.3984375" customWidth="1"/>
    <col min="8961" max="8962" width="9.69921875" customWidth="1"/>
    <col min="8963" max="8963" width="11" customWidth="1"/>
    <col min="8964" max="8964" width="9.8984375" customWidth="1"/>
    <col min="8965" max="8965" width="6" customWidth="1"/>
    <col min="8966" max="8966" width="29.59765625" customWidth="1"/>
    <col min="8969" max="8970" width="10.8984375" bestFit="1" customWidth="1"/>
    <col min="8971" max="8971" width="10.19921875" customWidth="1"/>
    <col min="9211" max="9211" width="5.69921875" customWidth="1"/>
    <col min="9212" max="9212" width="5.19921875" customWidth="1"/>
    <col min="9213" max="9213" width="6" customWidth="1"/>
    <col min="9214" max="9214" width="10.09765625" customWidth="1"/>
    <col min="9215" max="9216" width="10.3984375" customWidth="1"/>
    <col min="9217" max="9218" width="9.69921875" customWidth="1"/>
    <col min="9219" max="9219" width="11" customWidth="1"/>
    <col min="9220" max="9220" width="9.8984375" customWidth="1"/>
    <col min="9221" max="9221" width="6" customWidth="1"/>
    <col min="9222" max="9222" width="29.59765625" customWidth="1"/>
    <col min="9225" max="9226" width="10.8984375" bestFit="1" customWidth="1"/>
    <col min="9227" max="9227" width="10.19921875" customWidth="1"/>
    <col min="9467" max="9467" width="5.69921875" customWidth="1"/>
    <col min="9468" max="9468" width="5.19921875" customWidth="1"/>
    <col min="9469" max="9469" width="6" customWidth="1"/>
    <col min="9470" max="9470" width="10.09765625" customWidth="1"/>
    <col min="9471" max="9472" width="10.3984375" customWidth="1"/>
    <col min="9473" max="9474" width="9.69921875" customWidth="1"/>
    <col min="9475" max="9475" width="11" customWidth="1"/>
    <col min="9476" max="9476" width="9.8984375" customWidth="1"/>
    <col min="9477" max="9477" width="6" customWidth="1"/>
    <col min="9478" max="9478" width="29.59765625" customWidth="1"/>
    <col min="9481" max="9482" width="10.8984375" bestFit="1" customWidth="1"/>
    <col min="9483" max="9483" width="10.19921875" customWidth="1"/>
    <col min="9723" max="9723" width="5.69921875" customWidth="1"/>
    <col min="9724" max="9724" width="5.19921875" customWidth="1"/>
    <col min="9725" max="9725" width="6" customWidth="1"/>
    <col min="9726" max="9726" width="10.09765625" customWidth="1"/>
    <col min="9727" max="9728" width="10.3984375" customWidth="1"/>
    <col min="9729" max="9730" width="9.69921875" customWidth="1"/>
    <col min="9731" max="9731" width="11" customWidth="1"/>
    <col min="9732" max="9732" width="9.8984375" customWidth="1"/>
    <col min="9733" max="9733" width="6" customWidth="1"/>
    <col min="9734" max="9734" width="29.59765625" customWidth="1"/>
    <col min="9737" max="9738" width="10.8984375" bestFit="1" customWidth="1"/>
    <col min="9739" max="9739" width="10.19921875" customWidth="1"/>
    <col min="9979" max="9979" width="5.69921875" customWidth="1"/>
    <col min="9980" max="9980" width="5.19921875" customWidth="1"/>
    <col min="9981" max="9981" width="6" customWidth="1"/>
    <col min="9982" max="9982" width="10.09765625" customWidth="1"/>
    <col min="9983" max="9984" width="10.3984375" customWidth="1"/>
    <col min="9985" max="9986" width="9.69921875" customWidth="1"/>
    <col min="9987" max="9987" width="11" customWidth="1"/>
    <col min="9988" max="9988" width="9.8984375" customWidth="1"/>
    <col min="9989" max="9989" width="6" customWidth="1"/>
    <col min="9990" max="9990" width="29.59765625" customWidth="1"/>
    <col min="9993" max="9994" width="10.8984375" bestFit="1" customWidth="1"/>
    <col min="9995" max="9995" width="10.19921875" customWidth="1"/>
    <col min="10235" max="10235" width="5.69921875" customWidth="1"/>
    <col min="10236" max="10236" width="5.19921875" customWidth="1"/>
    <col min="10237" max="10237" width="6" customWidth="1"/>
    <col min="10238" max="10238" width="10.09765625" customWidth="1"/>
    <col min="10239" max="10240" width="10.3984375" customWidth="1"/>
    <col min="10241" max="10242" width="9.69921875" customWidth="1"/>
    <col min="10243" max="10243" width="11" customWidth="1"/>
    <col min="10244" max="10244" width="9.8984375" customWidth="1"/>
    <col min="10245" max="10245" width="6" customWidth="1"/>
    <col min="10246" max="10246" width="29.59765625" customWidth="1"/>
    <col min="10249" max="10250" width="10.8984375" bestFit="1" customWidth="1"/>
    <col min="10251" max="10251" width="10.19921875" customWidth="1"/>
    <col min="10491" max="10491" width="5.69921875" customWidth="1"/>
    <col min="10492" max="10492" width="5.19921875" customWidth="1"/>
    <col min="10493" max="10493" width="6" customWidth="1"/>
    <col min="10494" max="10494" width="10.09765625" customWidth="1"/>
    <col min="10495" max="10496" width="10.3984375" customWidth="1"/>
    <col min="10497" max="10498" width="9.69921875" customWidth="1"/>
    <col min="10499" max="10499" width="11" customWidth="1"/>
    <col min="10500" max="10500" width="9.8984375" customWidth="1"/>
    <col min="10501" max="10501" width="6" customWidth="1"/>
    <col min="10502" max="10502" width="29.59765625" customWidth="1"/>
    <col min="10505" max="10506" width="10.8984375" bestFit="1" customWidth="1"/>
    <col min="10507" max="10507" width="10.19921875" customWidth="1"/>
    <col min="10747" max="10747" width="5.69921875" customWidth="1"/>
    <col min="10748" max="10748" width="5.19921875" customWidth="1"/>
    <col min="10749" max="10749" width="6" customWidth="1"/>
    <col min="10750" max="10750" width="10.09765625" customWidth="1"/>
    <col min="10751" max="10752" width="10.3984375" customWidth="1"/>
    <col min="10753" max="10754" width="9.69921875" customWidth="1"/>
    <col min="10755" max="10755" width="11" customWidth="1"/>
    <col min="10756" max="10756" width="9.8984375" customWidth="1"/>
    <col min="10757" max="10757" width="6" customWidth="1"/>
    <col min="10758" max="10758" width="29.59765625" customWidth="1"/>
    <col min="10761" max="10762" width="10.8984375" bestFit="1" customWidth="1"/>
    <col min="10763" max="10763" width="10.19921875" customWidth="1"/>
    <col min="11003" max="11003" width="5.69921875" customWidth="1"/>
    <col min="11004" max="11004" width="5.19921875" customWidth="1"/>
    <col min="11005" max="11005" width="6" customWidth="1"/>
    <col min="11006" max="11006" width="10.09765625" customWidth="1"/>
    <col min="11007" max="11008" width="10.3984375" customWidth="1"/>
    <col min="11009" max="11010" width="9.69921875" customWidth="1"/>
    <col min="11011" max="11011" width="11" customWidth="1"/>
    <col min="11012" max="11012" width="9.8984375" customWidth="1"/>
    <col min="11013" max="11013" width="6" customWidth="1"/>
    <col min="11014" max="11014" width="29.59765625" customWidth="1"/>
    <col min="11017" max="11018" width="10.8984375" bestFit="1" customWidth="1"/>
    <col min="11019" max="11019" width="10.19921875" customWidth="1"/>
    <col min="11259" max="11259" width="5.69921875" customWidth="1"/>
    <col min="11260" max="11260" width="5.19921875" customWidth="1"/>
    <col min="11261" max="11261" width="6" customWidth="1"/>
    <col min="11262" max="11262" width="10.09765625" customWidth="1"/>
    <col min="11263" max="11264" width="10.3984375" customWidth="1"/>
    <col min="11265" max="11266" width="9.69921875" customWidth="1"/>
    <col min="11267" max="11267" width="11" customWidth="1"/>
    <col min="11268" max="11268" width="9.8984375" customWidth="1"/>
    <col min="11269" max="11269" width="6" customWidth="1"/>
    <col min="11270" max="11270" width="29.59765625" customWidth="1"/>
    <col min="11273" max="11274" width="10.8984375" bestFit="1" customWidth="1"/>
    <col min="11275" max="11275" width="10.19921875" customWidth="1"/>
    <col min="11515" max="11515" width="5.69921875" customWidth="1"/>
    <col min="11516" max="11516" width="5.19921875" customWidth="1"/>
    <col min="11517" max="11517" width="6" customWidth="1"/>
    <col min="11518" max="11518" width="10.09765625" customWidth="1"/>
    <col min="11519" max="11520" width="10.3984375" customWidth="1"/>
    <col min="11521" max="11522" width="9.69921875" customWidth="1"/>
    <col min="11523" max="11523" width="11" customWidth="1"/>
    <col min="11524" max="11524" width="9.8984375" customWidth="1"/>
    <col min="11525" max="11525" width="6" customWidth="1"/>
    <col min="11526" max="11526" width="29.59765625" customWidth="1"/>
    <col min="11529" max="11530" width="10.8984375" bestFit="1" customWidth="1"/>
    <col min="11531" max="11531" width="10.19921875" customWidth="1"/>
    <col min="11771" max="11771" width="5.69921875" customWidth="1"/>
    <col min="11772" max="11772" width="5.19921875" customWidth="1"/>
    <col min="11773" max="11773" width="6" customWidth="1"/>
    <col min="11774" max="11774" width="10.09765625" customWidth="1"/>
    <col min="11775" max="11776" width="10.3984375" customWidth="1"/>
    <col min="11777" max="11778" width="9.69921875" customWidth="1"/>
    <col min="11779" max="11779" width="11" customWidth="1"/>
    <col min="11780" max="11780" width="9.8984375" customWidth="1"/>
    <col min="11781" max="11781" width="6" customWidth="1"/>
    <col min="11782" max="11782" width="29.59765625" customWidth="1"/>
    <col min="11785" max="11786" width="10.8984375" bestFit="1" customWidth="1"/>
    <col min="11787" max="11787" width="10.19921875" customWidth="1"/>
    <col min="12027" max="12027" width="5.69921875" customWidth="1"/>
    <col min="12028" max="12028" width="5.19921875" customWidth="1"/>
    <col min="12029" max="12029" width="6" customWidth="1"/>
    <col min="12030" max="12030" width="10.09765625" customWidth="1"/>
    <col min="12031" max="12032" width="10.3984375" customWidth="1"/>
    <col min="12033" max="12034" width="9.69921875" customWidth="1"/>
    <col min="12035" max="12035" width="11" customWidth="1"/>
    <col min="12036" max="12036" width="9.8984375" customWidth="1"/>
    <col min="12037" max="12037" width="6" customWidth="1"/>
    <col min="12038" max="12038" width="29.59765625" customWidth="1"/>
    <col min="12041" max="12042" width="10.8984375" bestFit="1" customWidth="1"/>
    <col min="12043" max="12043" width="10.19921875" customWidth="1"/>
    <col min="12283" max="12283" width="5.69921875" customWidth="1"/>
    <col min="12284" max="12284" width="5.19921875" customWidth="1"/>
    <col min="12285" max="12285" width="6" customWidth="1"/>
    <col min="12286" max="12286" width="10.09765625" customWidth="1"/>
    <col min="12287" max="12288" width="10.3984375" customWidth="1"/>
    <col min="12289" max="12290" width="9.69921875" customWidth="1"/>
    <col min="12291" max="12291" width="11" customWidth="1"/>
    <col min="12292" max="12292" width="9.8984375" customWidth="1"/>
    <col min="12293" max="12293" width="6" customWidth="1"/>
    <col min="12294" max="12294" width="29.59765625" customWidth="1"/>
    <col min="12297" max="12298" width="10.8984375" bestFit="1" customWidth="1"/>
    <col min="12299" max="12299" width="10.19921875" customWidth="1"/>
    <col min="12539" max="12539" width="5.69921875" customWidth="1"/>
    <col min="12540" max="12540" width="5.19921875" customWidth="1"/>
    <col min="12541" max="12541" width="6" customWidth="1"/>
    <col min="12542" max="12542" width="10.09765625" customWidth="1"/>
    <col min="12543" max="12544" width="10.3984375" customWidth="1"/>
    <col min="12545" max="12546" width="9.69921875" customWidth="1"/>
    <col min="12547" max="12547" width="11" customWidth="1"/>
    <col min="12548" max="12548" width="9.8984375" customWidth="1"/>
    <col min="12549" max="12549" width="6" customWidth="1"/>
    <col min="12550" max="12550" width="29.59765625" customWidth="1"/>
    <col min="12553" max="12554" width="10.8984375" bestFit="1" customWidth="1"/>
    <col min="12555" max="12555" width="10.19921875" customWidth="1"/>
    <col min="12795" max="12795" width="5.69921875" customWidth="1"/>
    <col min="12796" max="12796" width="5.19921875" customWidth="1"/>
    <col min="12797" max="12797" width="6" customWidth="1"/>
    <col min="12798" max="12798" width="10.09765625" customWidth="1"/>
    <col min="12799" max="12800" width="10.3984375" customWidth="1"/>
    <col min="12801" max="12802" width="9.69921875" customWidth="1"/>
    <col min="12803" max="12803" width="11" customWidth="1"/>
    <col min="12804" max="12804" width="9.8984375" customWidth="1"/>
    <col min="12805" max="12805" width="6" customWidth="1"/>
    <col min="12806" max="12806" width="29.59765625" customWidth="1"/>
    <col min="12809" max="12810" width="10.8984375" bestFit="1" customWidth="1"/>
    <col min="12811" max="12811" width="10.19921875" customWidth="1"/>
    <col min="13051" max="13051" width="5.69921875" customWidth="1"/>
    <col min="13052" max="13052" width="5.19921875" customWidth="1"/>
    <col min="13053" max="13053" width="6" customWidth="1"/>
    <col min="13054" max="13054" width="10.09765625" customWidth="1"/>
    <col min="13055" max="13056" width="10.3984375" customWidth="1"/>
    <col min="13057" max="13058" width="9.69921875" customWidth="1"/>
    <col min="13059" max="13059" width="11" customWidth="1"/>
    <col min="13060" max="13060" width="9.8984375" customWidth="1"/>
    <col min="13061" max="13061" width="6" customWidth="1"/>
    <col min="13062" max="13062" width="29.59765625" customWidth="1"/>
    <col min="13065" max="13066" width="10.8984375" bestFit="1" customWidth="1"/>
    <col min="13067" max="13067" width="10.19921875" customWidth="1"/>
    <col min="13307" max="13307" width="5.69921875" customWidth="1"/>
    <col min="13308" max="13308" width="5.19921875" customWidth="1"/>
    <col min="13309" max="13309" width="6" customWidth="1"/>
    <col min="13310" max="13310" width="10.09765625" customWidth="1"/>
    <col min="13311" max="13312" width="10.3984375" customWidth="1"/>
    <col min="13313" max="13314" width="9.69921875" customWidth="1"/>
    <col min="13315" max="13315" width="11" customWidth="1"/>
    <col min="13316" max="13316" width="9.8984375" customWidth="1"/>
    <col min="13317" max="13317" width="6" customWidth="1"/>
    <col min="13318" max="13318" width="29.59765625" customWidth="1"/>
    <col min="13321" max="13322" width="10.8984375" bestFit="1" customWidth="1"/>
    <col min="13323" max="13323" width="10.19921875" customWidth="1"/>
    <col min="13563" max="13563" width="5.69921875" customWidth="1"/>
    <col min="13564" max="13564" width="5.19921875" customWidth="1"/>
    <col min="13565" max="13565" width="6" customWidth="1"/>
    <col min="13566" max="13566" width="10.09765625" customWidth="1"/>
    <col min="13567" max="13568" width="10.3984375" customWidth="1"/>
    <col min="13569" max="13570" width="9.69921875" customWidth="1"/>
    <col min="13571" max="13571" width="11" customWidth="1"/>
    <col min="13572" max="13572" width="9.8984375" customWidth="1"/>
    <col min="13573" max="13573" width="6" customWidth="1"/>
    <col min="13574" max="13574" width="29.59765625" customWidth="1"/>
    <col min="13577" max="13578" width="10.8984375" bestFit="1" customWidth="1"/>
    <col min="13579" max="13579" width="10.19921875" customWidth="1"/>
    <col min="13819" max="13819" width="5.69921875" customWidth="1"/>
    <col min="13820" max="13820" width="5.19921875" customWidth="1"/>
    <col min="13821" max="13821" width="6" customWidth="1"/>
    <col min="13822" max="13822" width="10.09765625" customWidth="1"/>
    <col min="13823" max="13824" width="10.3984375" customWidth="1"/>
    <col min="13825" max="13826" width="9.69921875" customWidth="1"/>
    <col min="13827" max="13827" width="11" customWidth="1"/>
    <col min="13828" max="13828" width="9.8984375" customWidth="1"/>
    <col min="13829" max="13829" width="6" customWidth="1"/>
    <col min="13830" max="13830" width="29.59765625" customWidth="1"/>
    <col min="13833" max="13834" width="10.8984375" bestFit="1" customWidth="1"/>
    <col min="13835" max="13835" width="10.19921875" customWidth="1"/>
    <col min="14075" max="14075" width="5.69921875" customWidth="1"/>
    <col min="14076" max="14076" width="5.19921875" customWidth="1"/>
    <col min="14077" max="14077" width="6" customWidth="1"/>
    <col min="14078" max="14078" width="10.09765625" customWidth="1"/>
    <col min="14079" max="14080" width="10.3984375" customWidth="1"/>
    <col min="14081" max="14082" width="9.69921875" customWidth="1"/>
    <col min="14083" max="14083" width="11" customWidth="1"/>
    <col min="14084" max="14084" width="9.8984375" customWidth="1"/>
    <col min="14085" max="14085" width="6" customWidth="1"/>
    <col min="14086" max="14086" width="29.59765625" customWidth="1"/>
    <col min="14089" max="14090" width="10.8984375" bestFit="1" customWidth="1"/>
    <col min="14091" max="14091" width="10.19921875" customWidth="1"/>
    <col min="14331" max="14331" width="5.69921875" customWidth="1"/>
    <col min="14332" max="14332" width="5.19921875" customWidth="1"/>
    <col min="14333" max="14333" width="6" customWidth="1"/>
    <col min="14334" max="14334" width="10.09765625" customWidth="1"/>
    <col min="14335" max="14336" width="10.3984375" customWidth="1"/>
    <col min="14337" max="14338" width="9.69921875" customWidth="1"/>
    <col min="14339" max="14339" width="11" customWidth="1"/>
    <col min="14340" max="14340" width="9.8984375" customWidth="1"/>
    <col min="14341" max="14341" width="6" customWidth="1"/>
    <col min="14342" max="14342" width="29.59765625" customWidth="1"/>
    <col min="14345" max="14346" width="10.8984375" bestFit="1" customWidth="1"/>
    <col min="14347" max="14347" width="10.19921875" customWidth="1"/>
    <col min="14587" max="14587" width="5.69921875" customWidth="1"/>
    <col min="14588" max="14588" width="5.19921875" customWidth="1"/>
    <col min="14589" max="14589" width="6" customWidth="1"/>
    <col min="14590" max="14590" width="10.09765625" customWidth="1"/>
    <col min="14591" max="14592" width="10.3984375" customWidth="1"/>
    <col min="14593" max="14594" width="9.69921875" customWidth="1"/>
    <col min="14595" max="14595" width="11" customWidth="1"/>
    <col min="14596" max="14596" width="9.8984375" customWidth="1"/>
    <col min="14597" max="14597" width="6" customWidth="1"/>
    <col min="14598" max="14598" width="29.59765625" customWidth="1"/>
    <col min="14601" max="14602" width="10.8984375" bestFit="1" customWidth="1"/>
    <col min="14603" max="14603" width="10.19921875" customWidth="1"/>
    <col min="14843" max="14843" width="5.69921875" customWidth="1"/>
    <col min="14844" max="14844" width="5.19921875" customWidth="1"/>
    <col min="14845" max="14845" width="6" customWidth="1"/>
    <col min="14846" max="14846" width="10.09765625" customWidth="1"/>
    <col min="14847" max="14848" width="10.3984375" customWidth="1"/>
    <col min="14849" max="14850" width="9.69921875" customWidth="1"/>
    <col min="14851" max="14851" width="11" customWidth="1"/>
    <col min="14852" max="14852" width="9.8984375" customWidth="1"/>
    <col min="14853" max="14853" width="6" customWidth="1"/>
    <col min="14854" max="14854" width="29.59765625" customWidth="1"/>
    <col min="14857" max="14858" width="10.8984375" bestFit="1" customWidth="1"/>
    <col min="14859" max="14859" width="10.19921875" customWidth="1"/>
    <col min="15099" max="15099" width="5.69921875" customWidth="1"/>
    <col min="15100" max="15100" width="5.19921875" customWidth="1"/>
    <col min="15101" max="15101" width="6" customWidth="1"/>
    <col min="15102" max="15102" width="10.09765625" customWidth="1"/>
    <col min="15103" max="15104" width="10.3984375" customWidth="1"/>
    <col min="15105" max="15106" width="9.69921875" customWidth="1"/>
    <col min="15107" max="15107" width="11" customWidth="1"/>
    <col min="15108" max="15108" width="9.8984375" customWidth="1"/>
    <col min="15109" max="15109" width="6" customWidth="1"/>
    <col min="15110" max="15110" width="29.59765625" customWidth="1"/>
    <col min="15113" max="15114" width="10.8984375" bestFit="1" customWidth="1"/>
    <col min="15115" max="15115" width="10.19921875" customWidth="1"/>
    <col min="15355" max="15355" width="5.69921875" customWidth="1"/>
    <col min="15356" max="15356" width="5.19921875" customWidth="1"/>
    <col min="15357" max="15357" width="6" customWidth="1"/>
    <col min="15358" max="15358" width="10.09765625" customWidth="1"/>
    <col min="15359" max="15360" width="10.3984375" customWidth="1"/>
    <col min="15361" max="15362" width="9.69921875" customWidth="1"/>
    <col min="15363" max="15363" width="11" customWidth="1"/>
    <col min="15364" max="15364" width="9.8984375" customWidth="1"/>
    <col min="15365" max="15365" width="6" customWidth="1"/>
    <col min="15366" max="15366" width="29.59765625" customWidth="1"/>
    <col min="15369" max="15370" width="10.8984375" bestFit="1" customWidth="1"/>
    <col min="15371" max="15371" width="10.19921875" customWidth="1"/>
    <col min="15611" max="15611" width="5.69921875" customWidth="1"/>
    <col min="15612" max="15612" width="5.19921875" customWidth="1"/>
    <col min="15613" max="15613" width="6" customWidth="1"/>
    <col min="15614" max="15614" width="10.09765625" customWidth="1"/>
    <col min="15615" max="15616" width="10.3984375" customWidth="1"/>
    <col min="15617" max="15618" width="9.69921875" customWidth="1"/>
    <col min="15619" max="15619" width="11" customWidth="1"/>
    <col min="15620" max="15620" width="9.8984375" customWidth="1"/>
    <col min="15621" max="15621" width="6" customWidth="1"/>
    <col min="15622" max="15622" width="29.59765625" customWidth="1"/>
    <col min="15625" max="15626" width="10.8984375" bestFit="1" customWidth="1"/>
    <col min="15627" max="15627" width="10.19921875" customWidth="1"/>
    <col min="15867" max="15867" width="5.69921875" customWidth="1"/>
    <col min="15868" max="15868" width="5.19921875" customWidth="1"/>
    <col min="15869" max="15869" width="6" customWidth="1"/>
    <col min="15870" max="15870" width="10.09765625" customWidth="1"/>
    <col min="15871" max="15872" width="10.3984375" customWidth="1"/>
    <col min="15873" max="15874" width="9.69921875" customWidth="1"/>
    <col min="15875" max="15875" width="11" customWidth="1"/>
    <col min="15876" max="15876" width="9.8984375" customWidth="1"/>
    <col min="15877" max="15877" width="6" customWidth="1"/>
    <col min="15878" max="15878" width="29.59765625" customWidth="1"/>
    <col min="15881" max="15882" width="10.8984375" bestFit="1" customWidth="1"/>
    <col min="15883" max="15883" width="10.19921875" customWidth="1"/>
    <col min="16123" max="16123" width="5.69921875" customWidth="1"/>
    <col min="16124" max="16124" width="5.19921875" customWidth="1"/>
    <col min="16125" max="16125" width="6" customWidth="1"/>
    <col min="16126" max="16126" width="10.09765625" customWidth="1"/>
    <col min="16127" max="16128" width="10.3984375" customWidth="1"/>
    <col min="16129" max="16130" width="9.69921875" customWidth="1"/>
    <col min="16131" max="16131" width="11" customWidth="1"/>
    <col min="16132" max="16132" width="9.8984375" customWidth="1"/>
    <col min="16133" max="16133" width="6" customWidth="1"/>
    <col min="16134" max="16134" width="29.59765625" customWidth="1"/>
    <col min="16137" max="16138" width="10.8984375" bestFit="1" customWidth="1"/>
    <col min="16139" max="16139" width="10.19921875" customWidth="1"/>
  </cols>
  <sheetData>
    <row r="1" spans="1:12" ht="25.2">
      <c r="A1" s="1" t="s">
        <v>199</v>
      </c>
    </row>
    <row r="2" spans="1:12" ht="14.4" customHeight="1" thickBot="1">
      <c r="J2" s="3" t="s">
        <v>105</v>
      </c>
    </row>
    <row r="3" spans="1:12" s="4" customFormat="1" ht="16.5" customHeight="1">
      <c r="A3" s="157" t="s">
        <v>1</v>
      </c>
      <c r="B3" s="158"/>
      <c r="C3" s="158"/>
      <c r="D3" s="159"/>
      <c r="E3" s="160" t="s">
        <v>128</v>
      </c>
      <c r="F3" s="162" t="s">
        <v>188</v>
      </c>
      <c r="G3" s="163"/>
      <c r="H3" s="164"/>
      <c r="I3" s="160" t="s">
        <v>187</v>
      </c>
      <c r="J3" s="160" t="s">
        <v>106</v>
      </c>
      <c r="K3" s="160" t="s">
        <v>3</v>
      </c>
      <c r="L3" s="144" t="s">
        <v>107</v>
      </c>
    </row>
    <row r="4" spans="1:12" s="4" customFormat="1" ht="18" thickBot="1">
      <c r="A4" s="29" t="s">
        <v>7</v>
      </c>
      <c r="B4" s="30" t="s">
        <v>8</v>
      </c>
      <c r="C4" s="30" t="s">
        <v>5</v>
      </c>
      <c r="D4" s="30" t="s">
        <v>6</v>
      </c>
      <c r="E4" s="161"/>
      <c r="F4" s="31" t="s">
        <v>108</v>
      </c>
      <c r="G4" s="31" t="s">
        <v>109</v>
      </c>
      <c r="H4" s="31" t="s">
        <v>110</v>
      </c>
      <c r="I4" s="161"/>
      <c r="J4" s="161"/>
      <c r="K4" s="161"/>
      <c r="L4" s="145"/>
    </row>
    <row r="5" spans="1:12" s="4" customFormat="1" ht="52.8">
      <c r="A5" s="146" t="s">
        <v>9</v>
      </c>
      <c r="B5" s="148" t="s">
        <v>111</v>
      </c>
      <c r="C5" s="32" t="s">
        <v>10</v>
      </c>
      <c r="D5" s="33" t="s">
        <v>112</v>
      </c>
      <c r="E5" s="34">
        <v>181546000</v>
      </c>
      <c r="F5" s="34">
        <v>181546000</v>
      </c>
      <c r="G5" s="34">
        <v>0</v>
      </c>
      <c r="H5" s="34">
        <v>0</v>
      </c>
      <c r="I5" s="34">
        <f>F5+G5+H5</f>
        <v>181546000</v>
      </c>
      <c r="J5" s="34">
        <f t="shared" ref="J5:J13" si="0">I5-E5</f>
        <v>0</v>
      </c>
      <c r="K5" s="35">
        <f t="shared" ref="K5:K13" si="1">J5/E5*100</f>
        <v>0</v>
      </c>
      <c r="L5" s="36" t="s">
        <v>113</v>
      </c>
    </row>
    <row r="6" spans="1:12" s="4" customFormat="1" ht="66">
      <c r="A6" s="147"/>
      <c r="B6" s="149"/>
      <c r="C6" s="113" t="s">
        <v>15</v>
      </c>
      <c r="D6" s="37" t="s">
        <v>114</v>
      </c>
      <c r="E6" s="34">
        <v>54206400</v>
      </c>
      <c r="F6" s="34">
        <v>54206400</v>
      </c>
      <c r="G6" s="34">
        <v>0</v>
      </c>
      <c r="H6" s="34">
        <v>0</v>
      </c>
      <c r="I6" s="34">
        <f>F6+G6+H6</f>
        <v>54206400</v>
      </c>
      <c r="J6" s="34">
        <f t="shared" si="0"/>
        <v>0</v>
      </c>
      <c r="K6" s="35">
        <f t="shared" si="1"/>
        <v>0</v>
      </c>
      <c r="L6" s="36" t="s">
        <v>115</v>
      </c>
    </row>
    <row r="7" spans="1:12" s="4" customFormat="1" ht="79.2">
      <c r="A7" s="147"/>
      <c r="B7" s="149"/>
      <c r="C7" s="151"/>
      <c r="D7" s="37" t="s">
        <v>18</v>
      </c>
      <c r="E7" s="34">
        <v>21727040</v>
      </c>
      <c r="F7" s="34">
        <f>15557040+6000000+170000</f>
        <v>21727040</v>
      </c>
      <c r="G7" s="34">
        <v>0</v>
      </c>
      <c r="H7" s="34">
        <v>0</v>
      </c>
      <c r="I7" s="34">
        <f>SUM(F7:H7)</f>
        <v>21727040</v>
      </c>
      <c r="J7" s="34">
        <f t="shared" si="0"/>
        <v>0</v>
      </c>
      <c r="K7" s="35">
        <f t="shared" si="1"/>
        <v>0</v>
      </c>
      <c r="L7" s="38" t="s">
        <v>185</v>
      </c>
    </row>
    <row r="8" spans="1:12" s="4" customFormat="1" ht="39.6">
      <c r="A8" s="147"/>
      <c r="B8" s="149"/>
      <c r="C8" s="151"/>
      <c r="D8" s="37" t="s">
        <v>20</v>
      </c>
      <c r="E8" s="34">
        <v>94900000</v>
      </c>
      <c r="F8" s="34">
        <f>4000*65*365</f>
        <v>94900000</v>
      </c>
      <c r="G8" s="34">
        <v>0</v>
      </c>
      <c r="H8" s="34">
        <v>0</v>
      </c>
      <c r="I8" s="34">
        <f>F8+G8+H8</f>
        <v>94900000</v>
      </c>
      <c r="J8" s="34">
        <f t="shared" si="0"/>
        <v>0</v>
      </c>
      <c r="K8" s="35">
        <f t="shared" si="1"/>
        <v>0</v>
      </c>
      <c r="L8" s="36" t="s">
        <v>116</v>
      </c>
    </row>
    <row r="9" spans="1:12" s="4" customFormat="1" ht="92.4">
      <c r="A9" s="147"/>
      <c r="B9" s="149"/>
      <c r="C9" s="151"/>
      <c r="D9" s="37" t="s">
        <v>22</v>
      </c>
      <c r="E9" s="34">
        <v>301069450</v>
      </c>
      <c r="F9" s="34">
        <v>301069450</v>
      </c>
      <c r="G9" s="34">
        <v>0</v>
      </c>
      <c r="H9" s="34">
        <v>0</v>
      </c>
      <c r="I9" s="34">
        <f>F9+G9+H9</f>
        <v>301069450</v>
      </c>
      <c r="J9" s="34">
        <f t="shared" si="0"/>
        <v>0</v>
      </c>
      <c r="K9" s="35">
        <f t="shared" si="1"/>
        <v>0</v>
      </c>
      <c r="L9" s="39" t="s">
        <v>117</v>
      </c>
    </row>
    <row r="10" spans="1:12" s="4" customFormat="1" ht="79.2">
      <c r="A10" s="147"/>
      <c r="B10" s="149"/>
      <c r="C10" s="151"/>
      <c r="D10" s="37" t="s">
        <v>24</v>
      </c>
      <c r="E10" s="34">
        <v>9858000</v>
      </c>
      <c r="F10" s="34">
        <f>4325000+589000+4944000</f>
        <v>9858000</v>
      </c>
      <c r="G10" s="34">
        <v>0</v>
      </c>
      <c r="H10" s="34">
        <v>0</v>
      </c>
      <c r="I10" s="34">
        <f>F10+G10+H10</f>
        <v>9858000</v>
      </c>
      <c r="J10" s="34">
        <f t="shared" si="0"/>
        <v>0</v>
      </c>
      <c r="K10" s="35">
        <f t="shared" si="1"/>
        <v>0</v>
      </c>
      <c r="L10" s="40" t="s">
        <v>186</v>
      </c>
    </row>
    <row r="11" spans="1:12" s="4" customFormat="1" ht="39.6">
      <c r="A11" s="147"/>
      <c r="B11" s="149"/>
      <c r="C11" s="151"/>
      <c r="D11" s="37" t="s">
        <v>27</v>
      </c>
      <c r="E11" s="34">
        <v>460000</v>
      </c>
      <c r="F11" s="34">
        <v>460000</v>
      </c>
      <c r="G11" s="34">
        <v>0</v>
      </c>
      <c r="H11" s="34">
        <v>0</v>
      </c>
      <c r="I11" s="34">
        <f>SUM(F11:H11)</f>
        <v>460000</v>
      </c>
      <c r="J11" s="34">
        <f t="shared" si="0"/>
        <v>0</v>
      </c>
      <c r="K11" s="35">
        <f t="shared" si="1"/>
        <v>0</v>
      </c>
      <c r="L11" s="36" t="s">
        <v>118</v>
      </c>
    </row>
    <row r="12" spans="1:12" s="4" customFormat="1" ht="39.6">
      <c r="A12" s="147"/>
      <c r="B12" s="149"/>
      <c r="C12" s="151"/>
      <c r="D12" s="37" t="s">
        <v>30</v>
      </c>
      <c r="E12" s="34">
        <v>2400000</v>
      </c>
      <c r="F12" s="34">
        <v>2400000</v>
      </c>
      <c r="G12" s="34">
        <v>0</v>
      </c>
      <c r="H12" s="34">
        <v>0</v>
      </c>
      <c r="I12" s="34">
        <f>SUM(F12:H12)</f>
        <v>2400000</v>
      </c>
      <c r="J12" s="34">
        <f t="shared" si="0"/>
        <v>0</v>
      </c>
      <c r="K12" s="35">
        <f t="shared" si="1"/>
        <v>0</v>
      </c>
      <c r="L12" s="41" t="s">
        <v>119</v>
      </c>
    </row>
    <row r="13" spans="1:12" s="4" customFormat="1" ht="145.19999999999999">
      <c r="A13" s="147"/>
      <c r="B13" s="149"/>
      <c r="C13" s="151"/>
      <c r="D13" s="37" t="s">
        <v>32</v>
      </c>
      <c r="E13" s="34">
        <v>6010000</v>
      </c>
      <c r="F13" s="34">
        <f>2240000+1500000+2000000+270000+1000000</f>
        <v>7010000</v>
      </c>
      <c r="G13" s="34">
        <v>0</v>
      </c>
      <c r="H13" s="34">
        <v>0</v>
      </c>
      <c r="I13" s="34">
        <f>SUM(F13:H13)</f>
        <v>7010000</v>
      </c>
      <c r="J13" s="34">
        <f t="shared" si="0"/>
        <v>1000000</v>
      </c>
      <c r="K13" s="35">
        <f t="shared" si="1"/>
        <v>16.638935108153078</v>
      </c>
      <c r="L13" s="38" t="s">
        <v>200</v>
      </c>
    </row>
    <row r="14" spans="1:12" s="4" customFormat="1">
      <c r="A14" s="141"/>
      <c r="B14" s="150"/>
      <c r="C14" s="151"/>
      <c r="D14" s="42" t="s">
        <v>34</v>
      </c>
      <c r="E14" s="43">
        <f>SUM(E6:E13)</f>
        <v>490630890</v>
      </c>
      <c r="F14" s="43">
        <f t="shared" ref="F14:K14" si="2">SUM(F6:F13)</f>
        <v>491630890</v>
      </c>
      <c r="G14" s="43">
        <f t="shared" si="2"/>
        <v>0</v>
      </c>
      <c r="H14" s="43">
        <f t="shared" si="2"/>
        <v>0</v>
      </c>
      <c r="I14" s="43">
        <f t="shared" si="2"/>
        <v>491630890</v>
      </c>
      <c r="J14" s="43">
        <f t="shared" si="2"/>
        <v>1000000</v>
      </c>
      <c r="K14" s="43">
        <f t="shared" si="2"/>
        <v>16.638935108153078</v>
      </c>
      <c r="L14" s="44"/>
    </row>
    <row r="15" spans="1:12" s="4" customFormat="1">
      <c r="A15" s="152" t="s">
        <v>36</v>
      </c>
      <c r="B15" s="153"/>
      <c r="C15" s="153"/>
      <c r="D15" s="154"/>
      <c r="E15" s="17">
        <f>E5+E14</f>
        <v>672176890</v>
      </c>
      <c r="F15" s="17">
        <f t="shared" ref="F15:K15" si="3">F5+F14</f>
        <v>673176890</v>
      </c>
      <c r="G15" s="17">
        <f t="shared" si="3"/>
        <v>0</v>
      </c>
      <c r="H15" s="17">
        <f t="shared" si="3"/>
        <v>0</v>
      </c>
      <c r="I15" s="17">
        <f t="shared" si="3"/>
        <v>673176890</v>
      </c>
      <c r="J15" s="17">
        <f t="shared" si="3"/>
        <v>1000000</v>
      </c>
      <c r="K15" s="17">
        <f t="shared" si="3"/>
        <v>16.638935108153078</v>
      </c>
      <c r="L15" s="45"/>
    </row>
    <row r="16" spans="1:12" s="4" customFormat="1" ht="52.8">
      <c r="A16" s="140" t="s">
        <v>38</v>
      </c>
      <c r="B16" s="142" t="s">
        <v>38</v>
      </c>
      <c r="C16" s="142" t="s">
        <v>39</v>
      </c>
      <c r="D16" s="33" t="s">
        <v>120</v>
      </c>
      <c r="E16" s="34">
        <v>4800000</v>
      </c>
      <c r="F16" s="34">
        <v>0</v>
      </c>
      <c r="G16" s="34">
        <v>4800000</v>
      </c>
      <c r="H16" s="34">
        <v>0</v>
      </c>
      <c r="I16" s="34">
        <v>4800000</v>
      </c>
      <c r="J16" s="34">
        <f>I16-E16</f>
        <v>0</v>
      </c>
      <c r="K16" s="35">
        <f>J16/E16*100</f>
        <v>0</v>
      </c>
      <c r="L16" s="46" t="s">
        <v>121</v>
      </c>
    </row>
    <row r="17" spans="1:12" s="4" customFormat="1" ht="67.5" customHeight="1">
      <c r="A17" s="147"/>
      <c r="B17" s="155"/>
      <c r="C17" s="156"/>
      <c r="D17" s="33" t="s">
        <v>42</v>
      </c>
      <c r="E17" s="34">
        <v>6050000</v>
      </c>
      <c r="F17" s="34">
        <v>0</v>
      </c>
      <c r="G17" s="34">
        <f>5000000+1050000+3330000</f>
        <v>9380000</v>
      </c>
      <c r="H17" s="34">
        <v>0</v>
      </c>
      <c r="I17" s="34">
        <f>F17+G17+H17</f>
        <v>9380000</v>
      </c>
      <c r="J17" s="34">
        <f t="shared" ref="J17:J28" si="4">I17-E17</f>
        <v>3330000</v>
      </c>
      <c r="K17" s="35">
        <f>J17/E17*100</f>
        <v>55.041322314049587</v>
      </c>
      <c r="L17" s="46" t="s">
        <v>201</v>
      </c>
    </row>
    <row r="18" spans="1:12" s="4" customFormat="1" ht="39.6">
      <c r="A18" s="141"/>
      <c r="B18" s="143"/>
      <c r="C18" s="32" t="s">
        <v>46</v>
      </c>
      <c r="D18" s="47" t="s">
        <v>46</v>
      </c>
      <c r="E18" s="34">
        <v>4800000</v>
      </c>
      <c r="F18" s="48">
        <v>0</v>
      </c>
      <c r="G18" s="48">
        <v>4800000</v>
      </c>
      <c r="H18" s="48">
        <v>0</v>
      </c>
      <c r="I18" s="34">
        <f>SUM(E18:E18)</f>
        <v>4800000</v>
      </c>
      <c r="J18" s="34">
        <f t="shared" si="4"/>
        <v>0</v>
      </c>
      <c r="K18" s="35">
        <f>J18/E18*100</f>
        <v>0</v>
      </c>
      <c r="L18" s="49" t="s">
        <v>122</v>
      </c>
    </row>
    <row r="19" spans="1:12" s="4" customFormat="1">
      <c r="A19" s="152" t="s">
        <v>48</v>
      </c>
      <c r="B19" s="153"/>
      <c r="C19" s="153"/>
      <c r="D19" s="154"/>
      <c r="E19" s="17">
        <f>SUM(E16:E18)</f>
        <v>15650000</v>
      </c>
      <c r="F19" s="17">
        <f>SUM(F16:F18)</f>
        <v>0</v>
      </c>
      <c r="G19" s="17">
        <f>SUM(G16:G18)</f>
        <v>18980000</v>
      </c>
      <c r="H19" s="17">
        <f>SUM(H16:H18)</f>
        <v>0</v>
      </c>
      <c r="I19" s="17">
        <f>SUM(I16:I18)</f>
        <v>18980000</v>
      </c>
      <c r="J19" s="50">
        <f t="shared" si="4"/>
        <v>3330000</v>
      </c>
      <c r="K19" s="51">
        <f t="shared" ref="K19:K26" si="5">J19/E19*100</f>
        <v>21.277955271565496</v>
      </c>
      <c r="L19" s="52"/>
    </row>
    <row r="20" spans="1:12" s="4" customFormat="1" ht="92.4">
      <c r="A20" s="53" t="s">
        <v>50</v>
      </c>
      <c r="B20" s="5" t="s">
        <v>50</v>
      </c>
      <c r="C20" s="5" t="s">
        <v>123</v>
      </c>
      <c r="D20" s="6" t="s">
        <v>52</v>
      </c>
      <c r="E20" s="54">
        <v>3635000</v>
      </c>
      <c r="F20" s="54">
        <v>0</v>
      </c>
      <c r="G20" s="54">
        <f>4475000-840000</f>
        <v>3635000</v>
      </c>
      <c r="H20" s="54">
        <v>0</v>
      </c>
      <c r="I20" s="54">
        <f>SUM(F20:H20)</f>
        <v>3635000</v>
      </c>
      <c r="J20" s="34">
        <f t="shared" si="4"/>
        <v>0</v>
      </c>
      <c r="K20" s="35">
        <f t="shared" si="5"/>
        <v>0</v>
      </c>
      <c r="L20" s="46" t="s">
        <v>190</v>
      </c>
    </row>
    <row r="21" spans="1:12" s="4" customFormat="1">
      <c r="A21" s="152" t="s">
        <v>55</v>
      </c>
      <c r="B21" s="165"/>
      <c r="C21" s="165"/>
      <c r="D21" s="166"/>
      <c r="E21" s="17">
        <f>SUM(E20)</f>
        <v>3635000</v>
      </c>
      <c r="F21" s="17">
        <f>SUM(F20)</f>
        <v>0</v>
      </c>
      <c r="G21" s="17">
        <f>SUM(G20)</f>
        <v>3635000</v>
      </c>
      <c r="H21" s="17">
        <f>SUM(H20)</f>
        <v>0</v>
      </c>
      <c r="I21" s="17">
        <f>SUM(I20)</f>
        <v>3635000</v>
      </c>
      <c r="J21" s="50">
        <f>I21-E21</f>
        <v>0</v>
      </c>
      <c r="K21" s="51">
        <f t="shared" si="5"/>
        <v>0</v>
      </c>
      <c r="L21" s="52"/>
    </row>
    <row r="22" spans="1:12" s="4" customFormat="1" ht="409.6">
      <c r="A22" s="140" t="s">
        <v>57</v>
      </c>
      <c r="B22" s="142" t="s">
        <v>57</v>
      </c>
      <c r="C22" s="55" t="s">
        <v>58</v>
      </c>
      <c r="D22" s="33" t="s">
        <v>58</v>
      </c>
      <c r="E22" s="34">
        <v>17911211</v>
      </c>
      <c r="F22" s="34">
        <f>9695499+1463</f>
        <v>9696962</v>
      </c>
      <c r="G22" s="34">
        <v>0</v>
      </c>
      <c r="H22" s="34">
        <f>13102+110+7751385+450929+186</f>
        <v>8215712</v>
      </c>
      <c r="I22" s="34">
        <f>F22+G22+H22</f>
        <v>17912674</v>
      </c>
      <c r="J22" s="34">
        <f t="shared" si="4"/>
        <v>1463</v>
      </c>
      <c r="K22" s="56">
        <f t="shared" si="5"/>
        <v>8.168068591230376E-3</v>
      </c>
      <c r="L22" s="57" t="s">
        <v>202</v>
      </c>
    </row>
    <row r="23" spans="1:12" s="4" customFormat="1" ht="237.6">
      <c r="A23" s="141"/>
      <c r="B23" s="143"/>
      <c r="C23" s="55" t="s">
        <v>61</v>
      </c>
      <c r="D23" s="33" t="s">
        <v>61</v>
      </c>
      <c r="E23" s="34">
        <v>20954388</v>
      </c>
      <c r="F23" s="34"/>
      <c r="G23" s="34">
        <f>2282080-110+17564421+537997+570000</f>
        <v>20954388</v>
      </c>
      <c r="H23" s="34">
        <v>0</v>
      </c>
      <c r="I23" s="34">
        <f>F23+G23+H23</f>
        <v>20954388</v>
      </c>
      <c r="J23" s="34">
        <f>I23-E23</f>
        <v>0</v>
      </c>
      <c r="K23" s="56">
        <f t="shared" si="5"/>
        <v>0</v>
      </c>
      <c r="L23" s="58" t="s">
        <v>203</v>
      </c>
    </row>
    <row r="24" spans="1:12" s="4" customFormat="1">
      <c r="A24" s="152" t="s">
        <v>64</v>
      </c>
      <c r="B24" s="165"/>
      <c r="C24" s="165"/>
      <c r="D24" s="166"/>
      <c r="E24" s="17">
        <f>SUM(E22:E23)</f>
        <v>38865599</v>
      </c>
      <c r="F24" s="17">
        <f>SUM(F22:F23)</f>
        <v>9696962</v>
      </c>
      <c r="G24" s="17">
        <f>SUM(G22:G23)</f>
        <v>20954388</v>
      </c>
      <c r="H24" s="17">
        <f>SUM(H22:H23)</f>
        <v>8215712</v>
      </c>
      <c r="I24" s="17">
        <f>SUM(I22:I23)</f>
        <v>38867062</v>
      </c>
      <c r="J24" s="50">
        <f t="shared" si="4"/>
        <v>1463</v>
      </c>
      <c r="K24" s="59">
        <f t="shared" si="5"/>
        <v>3.7642543473985824E-3</v>
      </c>
      <c r="L24" s="52"/>
    </row>
    <row r="25" spans="1:12" s="4" customFormat="1" ht="52.8">
      <c r="A25" s="140" t="s">
        <v>67</v>
      </c>
      <c r="B25" s="142" t="s">
        <v>67</v>
      </c>
      <c r="C25" s="55" t="s">
        <v>68</v>
      </c>
      <c r="D25" s="33" t="s">
        <v>69</v>
      </c>
      <c r="E25" s="34">
        <v>50000</v>
      </c>
      <c r="F25" s="34">
        <v>40000</v>
      </c>
      <c r="G25" s="34"/>
      <c r="H25" s="34">
        <v>10000</v>
      </c>
      <c r="I25" s="34">
        <f>SUM(E25:E25)</f>
        <v>50000</v>
      </c>
      <c r="J25" s="34">
        <f t="shared" si="4"/>
        <v>0</v>
      </c>
      <c r="K25" s="56">
        <f t="shared" si="5"/>
        <v>0</v>
      </c>
      <c r="L25" s="36" t="s">
        <v>124</v>
      </c>
    </row>
    <row r="26" spans="1:12" s="4" customFormat="1" ht="79.2">
      <c r="A26" s="141"/>
      <c r="B26" s="143"/>
      <c r="C26" s="55" t="s">
        <v>72</v>
      </c>
      <c r="D26" s="33" t="s">
        <v>125</v>
      </c>
      <c r="E26" s="34">
        <v>3580000</v>
      </c>
      <c r="F26" s="34">
        <v>0</v>
      </c>
      <c r="G26" s="34">
        <v>0</v>
      </c>
      <c r="H26" s="34">
        <f>2880000+400000+300000</f>
        <v>3580000</v>
      </c>
      <c r="I26" s="34">
        <f>SUM(E26:E26)</f>
        <v>3580000</v>
      </c>
      <c r="J26" s="34">
        <f t="shared" si="4"/>
        <v>0</v>
      </c>
      <c r="K26" s="56">
        <f t="shared" si="5"/>
        <v>0</v>
      </c>
      <c r="L26" s="38" t="s">
        <v>126</v>
      </c>
    </row>
    <row r="27" spans="1:12" s="4" customFormat="1" ht="18" thickBot="1">
      <c r="A27" s="167" t="s">
        <v>64</v>
      </c>
      <c r="B27" s="168"/>
      <c r="C27" s="168"/>
      <c r="D27" s="169"/>
      <c r="E27" s="60">
        <f>SUM(E25:E26)</f>
        <v>3630000</v>
      </c>
      <c r="F27" s="60">
        <f>SUM(F25:F26)</f>
        <v>40000</v>
      </c>
      <c r="G27" s="60">
        <f>SUM(G25:G26)</f>
        <v>0</v>
      </c>
      <c r="H27" s="60">
        <f>SUM(H25:H26)</f>
        <v>3590000</v>
      </c>
      <c r="I27" s="60">
        <f>SUM(I25:I26)</f>
        <v>3630000</v>
      </c>
      <c r="J27" s="61">
        <f t="shared" si="4"/>
        <v>0</v>
      </c>
      <c r="K27" s="62">
        <f>K26/E26*100</f>
        <v>0</v>
      </c>
      <c r="L27" s="63"/>
    </row>
    <row r="28" spans="1:12" s="4" customFormat="1" ht="18" thickBot="1">
      <c r="A28" s="170" t="s">
        <v>77</v>
      </c>
      <c r="B28" s="171"/>
      <c r="C28" s="171"/>
      <c r="D28" s="172"/>
      <c r="E28" s="64">
        <f>E15+E19+E21+E24+E27</f>
        <v>733957489</v>
      </c>
      <c r="F28" s="64">
        <f>F15+F19+F21+F24+F27</f>
        <v>682913852</v>
      </c>
      <c r="G28" s="64">
        <f>G15+G19+G21+G24+G27</f>
        <v>43569388</v>
      </c>
      <c r="H28" s="64">
        <f>H15+H19+H21+H24+H27</f>
        <v>11805712</v>
      </c>
      <c r="I28" s="64">
        <f>I15+I19+I21+I24+I27</f>
        <v>738288952</v>
      </c>
      <c r="J28" s="65">
        <f t="shared" si="4"/>
        <v>4331463</v>
      </c>
      <c r="K28" s="66">
        <f>J28/E28*100</f>
        <v>0.59015175468834269</v>
      </c>
      <c r="L28" s="67" t="s">
        <v>127</v>
      </c>
    </row>
    <row r="29" spans="1:12" s="4" customFormat="1">
      <c r="A29" s="22"/>
      <c r="B29" s="68"/>
      <c r="C29" s="68"/>
      <c r="D29" s="68"/>
      <c r="E29" s="24"/>
      <c r="F29" s="24"/>
      <c r="G29" s="24"/>
      <c r="H29" s="24"/>
      <c r="I29" s="24"/>
      <c r="J29" s="24"/>
      <c r="K29" s="25"/>
      <c r="L29" s="69"/>
    </row>
    <row r="30" spans="1:12" ht="25.2">
      <c r="A30" s="1" t="s">
        <v>189</v>
      </c>
      <c r="E30" s="70"/>
      <c r="F30" s="70"/>
      <c r="G30" s="70"/>
      <c r="H30" s="70"/>
      <c r="I30" s="70"/>
      <c r="J30" s="71"/>
      <c r="L30" s="70"/>
    </row>
    <row r="31" spans="1:12" ht="18" thickBot="1">
      <c r="J31" s="3" t="s">
        <v>105</v>
      </c>
    </row>
    <row r="32" spans="1:12" s="4" customFormat="1">
      <c r="A32" s="173" t="s">
        <v>1</v>
      </c>
      <c r="B32" s="119"/>
      <c r="C32" s="119"/>
      <c r="D32" s="119"/>
      <c r="E32" s="160" t="s">
        <v>193</v>
      </c>
      <c r="F32" s="162" t="s">
        <v>188</v>
      </c>
      <c r="G32" s="163"/>
      <c r="H32" s="164"/>
      <c r="I32" s="160" t="s">
        <v>194</v>
      </c>
      <c r="J32" s="160" t="s">
        <v>2</v>
      </c>
      <c r="K32" s="160" t="s">
        <v>3</v>
      </c>
      <c r="L32" s="144" t="s">
        <v>107</v>
      </c>
    </row>
    <row r="33" spans="1:12" s="4" customFormat="1" ht="18" thickBot="1">
      <c r="A33" s="72" t="s">
        <v>7</v>
      </c>
      <c r="B33" s="73" t="s">
        <v>8</v>
      </c>
      <c r="C33" s="73" t="s">
        <v>5</v>
      </c>
      <c r="D33" s="73" t="s">
        <v>6</v>
      </c>
      <c r="E33" s="161"/>
      <c r="F33" s="31" t="s">
        <v>108</v>
      </c>
      <c r="G33" s="31" t="s">
        <v>109</v>
      </c>
      <c r="H33" s="31" t="s">
        <v>110</v>
      </c>
      <c r="I33" s="161"/>
      <c r="J33" s="161"/>
      <c r="K33" s="161"/>
      <c r="L33" s="174"/>
    </row>
    <row r="34" spans="1:12" s="4" customFormat="1" ht="52.8">
      <c r="A34" s="110" t="s">
        <v>12</v>
      </c>
      <c r="B34" s="177" t="s">
        <v>13</v>
      </c>
      <c r="C34" s="5" t="s">
        <v>14</v>
      </c>
      <c r="D34" s="6" t="s">
        <v>14</v>
      </c>
      <c r="E34" s="7">
        <v>251002170</v>
      </c>
      <c r="F34" s="7">
        <v>251002170</v>
      </c>
      <c r="G34" s="7">
        <v>0</v>
      </c>
      <c r="H34" s="7">
        <v>0</v>
      </c>
      <c r="I34" s="7">
        <f t="shared" ref="I34:I44" si="6">SUM(F34:H34)</f>
        <v>251002170</v>
      </c>
      <c r="J34" s="7">
        <f>I34-E34</f>
        <v>0</v>
      </c>
      <c r="K34" s="74">
        <f>J34/E34*100</f>
        <v>0</v>
      </c>
      <c r="L34" s="75" t="s">
        <v>129</v>
      </c>
    </row>
    <row r="35" spans="1:12" s="4" customFormat="1" ht="52.8">
      <c r="A35" s="175"/>
      <c r="B35" s="178"/>
      <c r="C35" s="13" t="s">
        <v>130</v>
      </c>
      <c r="D35" s="10" t="s">
        <v>17</v>
      </c>
      <c r="E35" s="7">
        <v>1000000</v>
      </c>
      <c r="F35" s="11">
        <v>0</v>
      </c>
      <c r="G35" s="11">
        <f>600000+400000</f>
        <v>1000000</v>
      </c>
      <c r="H35" s="11">
        <v>0</v>
      </c>
      <c r="I35" s="7">
        <f t="shared" si="6"/>
        <v>1000000</v>
      </c>
      <c r="J35" s="7">
        <f t="shared" ref="J35:J74" si="7">I35-E35</f>
        <v>0</v>
      </c>
      <c r="K35" s="74">
        <f t="shared" ref="K35:K74" si="8">J35/E35*100</f>
        <v>0</v>
      </c>
      <c r="L35" s="76" t="s">
        <v>191</v>
      </c>
    </row>
    <row r="36" spans="1:12" s="4" customFormat="1" ht="39.6">
      <c r="A36" s="175"/>
      <c r="B36" s="178"/>
      <c r="C36" s="13" t="s">
        <v>131</v>
      </c>
      <c r="D36" s="10" t="s">
        <v>132</v>
      </c>
      <c r="E36" s="7">
        <v>21700290</v>
      </c>
      <c r="F36" s="11">
        <v>21700290</v>
      </c>
      <c r="G36" s="11">
        <v>0</v>
      </c>
      <c r="H36" s="11">
        <v>0</v>
      </c>
      <c r="I36" s="7">
        <f t="shared" si="6"/>
        <v>21700290</v>
      </c>
      <c r="J36" s="7">
        <f t="shared" si="7"/>
        <v>0</v>
      </c>
      <c r="K36" s="74">
        <f t="shared" si="8"/>
        <v>0</v>
      </c>
      <c r="L36" s="76" t="s">
        <v>133</v>
      </c>
    </row>
    <row r="37" spans="1:12" s="4" customFormat="1" ht="39.6">
      <c r="A37" s="175"/>
      <c r="B37" s="178"/>
      <c r="C37" s="13" t="s">
        <v>134</v>
      </c>
      <c r="D37" s="10" t="s">
        <v>21</v>
      </c>
      <c r="E37" s="7">
        <v>26366990</v>
      </c>
      <c r="F37" s="11">
        <v>26366990</v>
      </c>
      <c r="G37" s="11">
        <v>0</v>
      </c>
      <c r="H37" s="11">
        <v>0</v>
      </c>
      <c r="I37" s="7">
        <f t="shared" si="6"/>
        <v>26366990</v>
      </c>
      <c r="J37" s="7">
        <f t="shared" si="7"/>
        <v>0</v>
      </c>
      <c r="K37" s="74">
        <f t="shared" si="8"/>
        <v>0</v>
      </c>
      <c r="L37" s="76" t="s">
        <v>135</v>
      </c>
    </row>
    <row r="38" spans="1:12" s="4" customFormat="1" ht="92.4">
      <c r="A38" s="175"/>
      <c r="B38" s="179"/>
      <c r="C38" s="13" t="s">
        <v>136</v>
      </c>
      <c r="D38" s="10" t="s">
        <v>23</v>
      </c>
      <c r="E38" s="7">
        <v>2750000</v>
      </c>
      <c r="F38" s="11">
        <v>2000000</v>
      </c>
      <c r="G38" s="11">
        <v>750000</v>
      </c>
      <c r="H38" s="11">
        <v>0</v>
      </c>
      <c r="I38" s="7">
        <f t="shared" si="6"/>
        <v>2750000</v>
      </c>
      <c r="J38" s="7">
        <f t="shared" si="7"/>
        <v>0</v>
      </c>
      <c r="K38" s="74">
        <f t="shared" si="8"/>
        <v>0</v>
      </c>
      <c r="L38" s="76" t="s">
        <v>137</v>
      </c>
    </row>
    <row r="39" spans="1:12" s="4" customFormat="1" ht="158.4">
      <c r="A39" s="175"/>
      <c r="B39" s="13" t="s">
        <v>138</v>
      </c>
      <c r="C39" s="13" t="s">
        <v>26</v>
      </c>
      <c r="D39" s="10" t="s">
        <v>26</v>
      </c>
      <c r="E39" s="7">
        <v>926710</v>
      </c>
      <c r="F39" s="11">
        <f>40000+300000+300000</f>
        <v>640000</v>
      </c>
      <c r="G39" s="11">
        <f>481850+104860</f>
        <v>586710</v>
      </c>
      <c r="H39" s="11">
        <v>0</v>
      </c>
      <c r="I39" s="7">
        <f t="shared" si="6"/>
        <v>1226710</v>
      </c>
      <c r="J39" s="7">
        <f t="shared" si="7"/>
        <v>300000</v>
      </c>
      <c r="K39" s="74">
        <f t="shared" si="8"/>
        <v>32.372586893418656</v>
      </c>
      <c r="L39" s="77" t="s">
        <v>204</v>
      </c>
    </row>
    <row r="40" spans="1:12" s="4" customFormat="1" ht="39.6">
      <c r="A40" s="175"/>
      <c r="B40" s="128" t="s">
        <v>28</v>
      </c>
      <c r="C40" s="13" t="s">
        <v>29</v>
      </c>
      <c r="D40" s="10" t="s">
        <v>29</v>
      </c>
      <c r="E40" s="7">
        <v>200000</v>
      </c>
      <c r="F40" s="11">
        <v>0</v>
      </c>
      <c r="G40" s="11">
        <v>200000</v>
      </c>
      <c r="H40" s="11">
        <v>0</v>
      </c>
      <c r="I40" s="7">
        <f t="shared" si="6"/>
        <v>200000</v>
      </c>
      <c r="J40" s="7">
        <f t="shared" si="7"/>
        <v>0</v>
      </c>
      <c r="K40" s="74">
        <f t="shared" si="8"/>
        <v>0</v>
      </c>
      <c r="L40" s="78" t="s">
        <v>139</v>
      </c>
    </row>
    <row r="41" spans="1:12" s="4" customFormat="1" ht="145.19999999999999">
      <c r="A41" s="175"/>
      <c r="B41" s="178"/>
      <c r="C41" s="13" t="s">
        <v>140</v>
      </c>
      <c r="D41" s="10" t="s">
        <v>31</v>
      </c>
      <c r="E41" s="7">
        <v>12117480</v>
      </c>
      <c r="F41" s="11">
        <f>7167480-203560</f>
        <v>6963920</v>
      </c>
      <c r="G41" s="11">
        <f>4956710-6710</f>
        <v>4950000</v>
      </c>
      <c r="H41" s="11">
        <v>0</v>
      </c>
      <c r="I41" s="7">
        <f t="shared" si="6"/>
        <v>11913920</v>
      </c>
      <c r="J41" s="7">
        <f t="shared" si="7"/>
        <v>-203560</v>
      </c>
      <c r="K41" s="74">
        <f t="shared" si="8"/>
        <v>-1.6798872372803586</v>
      </c>
      <c r="L41" s="77" t="s">
        <v>205</v>
      </c>
    </row>
    <row r="42" spans="1:12" s="4" customFormat="1" ht="92.4">
      <c r="A42" s="175"/>
      <c r="B42" s="178"/>
      <c r="C42" s="13" t="s">
        <v>141</v>
      </c>
      <c r="D42" s="10" t="s">
        <v>33</v>
      </c>
      <c r="E42" s="7">
        <v>11702000</v>
      </c>
      <c r="F42" s="11">
        <f>(1133000*4)+6000000+170000</f>
        <v>10702000</v>
      </c>
      <c r="G42" s="11">
        <v>1000000</v>
      </c>
      <c r="H42" s="11">
        <v>0</v>
      </c>
      <c r="I42" s="7">
        <f t="shared" si="6"/>
        <v>11702000</v>
      </c>
      <c r="J42" s="7">
        <f t="shared" si="7"/>
        <v>0</v>
      </c>
      <c r="K42" s="74">
        <f t="shared" si="8"/>
        <v>0</v>
      </c>
      <c r="L42" s="76" t="s">
        <v>206</v>
      </c>
    </row>
    <row r="43" spans="1:12" s="4" customFormat="1" ht="160.5" customHeight="1">
      <c r="A43" s="175"/>
      <c r="B43" s="178"/>
      <c r="C43" s="13" t="s">
        <v>142</v>
      </c>
      <c r="D43" s="10" t="s">
        <v>35</v>
      </c>
      <c r="E43" s="7">
        <v>3812997</v>
      </c>
      <c r="F43" s="11">
        <f>840000</f>
        <v>840000</v>
      </c>
      <c r="G43" s="11">
        <f>2285000+137997+550000</f>
        <v>2972997</v>
      </c>
      <c r="H43" s="11">
        <v>0</v>
      </c>
      <c r="I43" s="7">
        <f t="shared" si="6"/>
        <v>3812997</v>
      </c>
      <c r="J43" s="7">
        <f t="shared" si="7"/>
        <v>0</v>
      </c>
      <c r="K43" s="74">
        <f t="shared" si="8"/>
        <v>0</v>
      </c>
      <c r="L43" s="77" t="s">
        <v>207</v>
      </c>
    </row>
    <row r="44" spans="1:12" s="4" customFormat="1" ht="66">
      <c r="A44" s="176"/>
      <c r="B44" s="179"/>
      <c r="C44" s="13" t="s">
        <v>37</v>
      </c>
      <c r="D44" s="10" t="s">
        <v>37</v>
      </c>
      <c r="E44" s="7">
        <v>2400000</v>
      </c>
      <c r="F44" s="11">
        <v>2400000</v>
      </c>
      <c r="G44" s="11">
        <v>0</v>
      </c>
      <c r="H44" s="11">
        <v>0</v>
      </c>
      <c r="I44" s="7">
        <f t="shared" si="6"/>
        <v>2400000</v>
      </c>
      <c r="J44" s="7">
        <f t="shared" si="7"/>
        <v>0</v>
      </c>
      <c r="K44" s="74">
        <f t="shared" si="8"/>
        <v>0</v>
      </c>
      <c r="L44" s="76" t="s">
        <v>143</v>
      </c>
    </row>
    <row r="45" spans="1:12" s="4" customFormat="1">
      <c r="A45" s="126" t="s">
        <v>41</v>
      </c>
      <c r="B45" s="180"/>
      <c r="C45" s="180"/>
      <c r="D45" s="180"/>
      <c r="E45" s="17">
        <f>SUM(E34:E44)</f>
        <v>333978637</v>
      </c>
      <c r="F45" s="17">
        <f>SUM(F34:F44)</f>
        <v>322615370</v>
      </c>
      <c r="G45" s="17">
        <f>SUM(G34:G44)</f>
        <v>11459707</v>
      </c>
      <c r="H45" s="17">
        <f>SUM(H34:H44)</f>
        <v>0</v>
      </c>
      <c r="I45" s="17">
        <f>SUM(I34:I44)</f>
        <v>334075077</v>
      </c>
      <c r="J45" s="79">
        <f t="shared" si="7"/>
        <v>96440</v>
      </c>
      <c r="K45" s="80">
        <f t="shared" si="8"/>
        <v>2.8876098443386362E-2</v>
      </c>
      <c r="L45" s="81"/>
    </row>
    <row r="46" spans="1:12" s="4" customFormat="1" ht="138.75" customHeight="1">
      <c r="A46" s="134" t="s">
        <v>144</v>
      </c>
      <c r="B46" s="128" t="s">
        <v>44</v>
      </c>
      <c r="C46" s="13" t="s">
        <v>145</v>
      </c>
      <c r="D46" s="10" t="s">
        <v>45</v>
      </c>
      <c r="E46" s="7">
        <v>5863000</v>
      </c>
      <c r="F46" s="11">
        <f>419000+4944000+500000-96440</f>
        <v>5766560</v>
      </c>
      <c r="G46" s="11">
        <v>0</v>
      </c>
      <c r="H46" s="11">
        <v>0</v>
      </c>
      <c r="I46" s="7">
        <f>SUM(F46:H46)</f>
        <v>5766560</v>
      </c>
      <c r="J46" s="7">
        <f t="shared" si="7"/>
        <v>-96440</v>
      </c>
      <c r="K46" s="74">
        <f t="shared" si="8"/>
        <v>-1.6448916936721816</v>
      </c>
      <c r="L46" s="77" t="s">
        <v>208</v>
      </c>
    </row>
    <row r="47" spans="1:12" s="4" customFormat="1" ht="92.4">
      <c r="A47" s="176"/>
      <c r="B47" s="179"/>
      <c r="C47" s="13" t="s">
        <v>146</v>
      </c>
      <c r="D47" s="10" t="s">
        <v>47</v>
      </c>
      <c r="E47" s="7">
        <v>4595000</v>
      </c>
      <c r="F47" s="11">
        <f>4325000+170000</f>
        <v>4495000</v>
      </c>
      <c r="G47" s="11">
        <f>100000</f>
        <v>100000</v>
      </c>
      <c r="H47" s="11">
        <v>0</v>
      </c>
      <c r="I47" s="7">
        <f>SUM(F47:H47)</f>
        <v>4595000</v>
      </c>
      <c r="J47" s="7">
        <f t="shared" si="7"/>
        <v>0</v>
      </c>
      <c r="K47" s="74">
        <f t="shared" si="8"/>
        <v>0</v>
      </c>
      <c r="L47" s="77" t="s">
        <v>192</v>
      </c>
    </row>
    <row r="48" spans="1:12" s="4" customFormat="1">
      <c r="A48" s="126" t="s">
        <v>49</v>
      </c>
      <c r="B48" s="180"/>
      <c r="C48" s="180"/>
      <c r="D48" s="180"/>
      <c r="E48" s="17">
        <f>SUM(E46:E47)</f>
        <v>10458000</v>
      </c>
      <c r="F48" s="17">
        <f>SUM(F46:F47)</f>
        <v>10261560</v>
      </c>
      <c r="G48" s="17">
        <f>SUM(G46:G47)</f>
        <v>100000</v>
      </c>
      <c r="H48" s="17">
        <f>SUM(H46:H47)</f>
        <v>0</v>
      </c>
      <c r="I48" s="17">
        <f>SUM(I46:I47)</f>
        <v>10361560</v>
      </c>
      <c r="J48" s="79">
        <f t="shared" si="7"/>
        <v>-96440</v>
      </c>
      <c r="K48" s="80">
        <f t="shared" si="8"/>
        <v>-0.92216484987569325</v>
      </c>
      <c r="L48" s="82"/>
    </row>
    <row r="49" spans="1:12" s="4" customFormat="1" ht="39.6">
      <c r="A49" s="134" t="s">
        <v>53</v>
      </c>
      <c r="B49" s="128" t="s">
        <v>28</v>
      </c>
      <c r="C49" s="13" t="s">
        <v>54</v>
      </c>
      <c r="D49" s="10" t="s">
        <v>54</v>
      </c>
      <c r="E49" s="7">
        <v>94900000</v>
      </c>
      <c r="F49" s="11">
        <v>94900000</v>
      </c>
      <c r="G49" s="11">
        <v>0</v>
      </c>
      <c r="H49" s="11">
        <v>0</v>
      </c>
      <c r="I49" s="7">
        <f>SUM(F49:H49)</f>
        <v>94900000</v>
      </c>
      <c r="J49" s="7">
        <f t="shared" si="7"/>
        <v>0</v>
      </c>
      <c r="K49" s="74">
        <f t="shared" si="8"/>
        <v>0</v>
      </c>
      <c r="L49" s="78" t="s">
        <v>147</v>
      </c>
    </row>
    <row r="50" spans="1:12" s="4" customFormat="1" ht="52.8">
      <c r="A50" s="175"/>
      <c r="B50" s="178"/>
      <c r="C50" s="13" t="s">
        <v>148</v>
      </c>
      <c r="D50" s="10" t="s">
        <v>56</v>
      </c>
      <c r="E50" s="7">
        <v>2041640</v>
      </c>
      <c r="F50" s="11">
        <f>ROUND((76260*12*17)*0.14,-1)-F51-430</f>
        <v>2041640</v>
      </c>
      <c r="G50" s="11">
        <v>0</v>
      </c>
      <c r="H50" s="11">
        <v>0</v>
      </c>
      <c r="I50" s="7">
        <f>SUM(F50:H50)</f>
        <v>2041640</v>
      </c>
      <c r="J50" s="7">
        <f t="shared" si="7"/>
        <v>0</v>
      </c>
      <c r="K50" s="74">
        <f t="shared" si="8"/>
        <v>0</v>
      </c>
      <c r="L50" s="77" t="s">
        <v>198</v>
      </c>
    </row>
    <row r="51" spans="1:12" s="4" customFormat="1" ht="39.6">
      <c r="A51" s="175"/>
      <c r="B51" s="178"/>
      <c r="C51" s="13" t="s">
        <v>60</v>
      </c>
      <c r="D51" s="10" t="s">
        <v>60</v>
      </c>
      <c r="E51" s="7">
        <v>135920</v>
      </c>
      <c r="F51" s="11">
        <v>135920</v>
      </c>
      <c r="G51" s="11">
        <v>0</v>
      </c>
      <c r="H51" s="11">
        <v>0</v>
      </c>
      <c r="I51" s="7">
        <f>SUM(E51:E51)</f>
        <v>135920</v>
      </c>
      <c r="J51" s="7">
        <f t="shared" si="7"/>
        <v>0</v>
      </c>
      <c r="K51" s="74">
        <f t="shared" si="8"/>
        <v>0</v>
      </c>
      <c r="L51" s="76" t="s">
        <v>149</v>
      </c>
    </row>
    <row r="52" spans="1:12" s="4" customFormat="1" ht="92.4">
      <c r="A52" s="175"/>
      <c r="B52" s="179"/>
      <c r="C52" s="13" t="s">
        <v>150</v>
      </c>
      <c r="D52" s="10" t="s">
        <v>63</v>
      </c>
      <c r="E52" s="7">
        <v>4190929</v>
      </c>
      <c r="F52" s="11">
        <v>460000</v>
      </c>
      <c r="G52" s="11">
        <v>0</v>
      </c>
      <c r="H52" s="11">
        <f>3280000+450929</f>
        <v>3730929</v>
      </c>
      <c r="I52" s="7">
        <f>SUM(F52:H52)</f>
        <v>4190929</v>
      </c>
      <c r="J52" s="7">
        <f t="shared" si="7"/>
        <v>0</v>
      </c>
      <c r="K52" s="74">
        <f t="shared" si="8"/>
        <v>0</v>
      </c>
      <c r="L52" s="76" t="s">
        <v>151</v>
      </c>
    </row>
    <row r="53" spans="1:12" s="4" customFormat="1" ht="145.19999999999999">
      <c r="A53" s="175"/>
      <c r="B53" s="128" t="s">
        <v>53</v>
      </c>
      <c r="C53" s="13" t="s">
        <v>66</v>
      </c>
      <c r="D53" s="10" t="s">
        <v>32</v>
      </c>
      <c r="E53" s="7">
        <v>6010000</v>
      </c>
      <c r="F53" s="11">
        <f>2240000+1500000+2000000+270000+1000000</f>
        <v>7010000</v>
      </c>
      <c r="G53" s="11">
        <v>0</v>
      </c>
      <c r="H53" s="11">
        <v>0</v>
      </c>
      <c r="I53" s="7">
        <f>SUM(F53:H53)</f>
        <v>7010000</v>
      </c>
      <c r="J53" s="7">
        <f t="shared" si="7"/>
        <v>1000000</v>
      </c>
      <c r="K53" s="74">
        <f t="shared" si="8"/>
        <v>16.638935108153078</v>
      </c>
      <c r="L53" s="76" t="s">
        <v>209</v>
      </c>
    </row>
    <row r="54" spans="1:12" s="4" customFormat="1" ht="66">
      <c r="A54" s="175"/>
      <c r="B54" s="178"/>
      <c r="C54" s="13" t="s">
        <v>114</v>
      </c>
      <c r="D54" s="10" t="s">
        <v>152</v>
      </c>
      <c r="E54" s="7">
        <v>54206400</v>
      </c>
      <c r="F54" s="11">
        <v>54206400</v>
      </c>
      <c r="G54" s="11">
        <v>0</v>
      </c>
      <c r="H54" s="11">
        <v>0</v>
      </c>
      <c r="I54" s="7">
        <f t="shared" ref="I54:I63" si="9">SUM(E54:E54)</f>
        <v>54206400</v>
      </c>
      <c r="J54" s="7">
        <f t="shared" si="7"/>
        <v>0</v>
      </c>
      <c r="K54" s="74">
        <f t="shared" si="8"/>
        <v>0</v>
      </c>
      <c r="L54" s="83" t="s">
        <v>153</v>
      </c>
    </row>
    <row r="55" spans="1:12" s="4" customFormat="1" ht="66">
      <c r="A55" s="175"/>
      <c r="B55" s="178"/>
      <c r="C55" s="181" t="s">
        <v>154</v>
      </c>
      <c r="D55" s="84" t="s">
        <v>155</v>
      </c>
      <c r="E55" s="7">
        <v>40800000</v>
      </c>
      <c r="F55" s="85">
        <v>40800000</v>
      </c>
      <c r="G55" s="85">
        <v>0</v>
      </c>
      <c r="H55" s="85">
        <v>0</v>
      </c>
      <c r="I55" s="7">
        <f t="shared" si="9"/>
        <v>40800000</v>
      </c>
      <c r="J55" s="7">
        <f t="shared" si="7"/>
        <v>0</v>
      </c>
      <c r="K55" s="74">
        <f t="shared" si="8"/>
        <v>0</v>
      </c>
      <c r="L55" s="86" t="s">
        <v>156</v>
      </c>
    </row>
    <row r="56" spans="1:12" s="4" customFormat="1" ht="52.8">
      <c r="A56" s="175"/>
      <c r="B56" s="178"/>
      <c r="C56" s="178"/>
      <c r="D56" s="84" t="s">
        <v>157</v>
      </c>
      <c r="E56" s="7">
        <v>5480000</v>
      </c>
      <c r="F56" s="85">
        <v>5480000</v>
      </c>
      <c r="G56" s="85">
        <v>0</v>
      </c>
      <c r="H56" s="85">
        <v>0</v>
      </c>
      <c r="I56" s="7">
        <f t="shared" si="9"/>
        <v>5480000</v>
      </c>
      <c r="J56" s="7">
        <f t="shared" si="7"/>
        <v>0</v>
      </c>
      <c r="K56" s="74">
        <f t="shared" si="8"/>
        <v>0</v>
      </c>
      <c r="L56" s="86" t="s">
        <v>158</v>
      </c>
    </row>
    <row r="57" spans="1:12" s="4" customFormat="1" ht="132">
      <c r="A57" s="175"/>
      <c r="B57" s="178"/>
      <c r="C57" s="178"/>
      <c r="D57" s="84" t="s">
        <v>159</v>
      </c>
      <c r="E57" s="7">
        <v>118466000</v>
      </c>
      <c r="F57" s="85">
        <v>118466000</v>
      </c>
      <c r="G57" s="85">
        <v>0</v>
      </c>
      <c r="H57" s="85">
        <v>0</v>
      </c>
      <c r="I57" s="7">
        <f t="shared" si="9"/>
        <v>118466000</v>
      </c>
      <c r="J57" s="7">
        <f t="shared" si="7"/>
        <v>0</v>
      </c>
      <c r="K57" s="74">
        <f t="shared" si="8"/>
        <v>0</v>
      </c>
      <c r="L57" s="87" t="s">
        <v>160</v>
      </c>
    </row>
    <row r="58" spans="1:12" s="4" customFormat="1" ht="66">
      <c r="A58" s="175"/>
      <c r="B58" s="178"/>
      <c r="C58" s="178"/>
      <c r="D58" s="84" t="s">
        <v>79</v>
      </c>
      <c r="E58" s="7">
        <v>15600000</v>
      </c>
      <c r="F58" s="85">
        <v>15600000</v>
      </c>
      <c r="G58" s="85">
        <v>0</v>
      </c>
      <c r="H58" s="85">
        <v>0</v>
      </c>
      <c r="I58" s="7">
        <f t="shared" si="9"/>
        <v>15600000</v>
      </c>
      <c r="J58" s="7">
        <f t="shared" si="7"/>
        <v>0</v>
      </c>
      <c r="K58" s="74">
        <f t="shared" si="8"/>
        <v>0</v>
      </c>
      <c r="L58" s="86" t="s">
        <v>161</v>
      </c>
    </row>
    <row r="59" spans="1:12" s="4" customFormat="1" ht="52.8">
      <c r="A59" s="175"/>
      <c r="B59" s="178"/>
      <c r="C59" s="179"/>
      <c r="D59" s="84" t="s">
        <v>80</v>
      </c>
      <c r="E59" s="7">
        <v>1200000</v>
      </c>
      <c r="F59" s="85">
        <v>1200000</v>
      </c>
      <c r="G59" s="85">
        <v>0</v>
      </c>
      <c r="H59" s="85">
        <v>0</v>
      </c>
      <c r="I59" s="7">
        <f t="shared" si="9"/>
        <v>1200000</v>
      </c>
      <c r="J59" s="7">
        <f t="shared" si="7"/>
        <v>0</v>
      </c>
      <c r="K59" s="74">
        <f t="shared" si="8"/>
        <v>0</v>
      </c>
      <c r="L59" s="86" t="s">
        <v>162</v>
      </c>
    </row>
    <row r="60" spans="1:12" s="4" customFormat="1" ht="39.6">
      <c r="A60" s="175"/>
      <c r="B60" s="179"/>
      <c r="C60" s="13" t="s">
        <v>163</v>
      </c>
      <c r="D60" s="13" t="s">
        <v>81</v>
      </c>
      <c r="E60" s="7">
        <v>7800000</v>
      </c>
      <c r="F60" s="11">
        <v>0</v>
      </c>
      <c r="G60" s="11">
        <v>7800000</v>
      </c>
      <c r="H60" s="11">
        <v>0</v>
      </c>
      <c r="I60" s="7">
        <f>SUM(F60:H60)</f>
        <v>7800000</v>
      </c>
      <c r="J60" s="7">
        <f t="shared" si="7"/>
        <v>0</v>
      </c>
      <c r="K60" s="74">
        <f t="shared" si="8"/>
        <v>0</v>
      </c>
      <c r="L60" s="76" t="s">
        <v>197</v>
      </c>
    </row>
    <row r="61" spans="1:12" s="4" customFormat="1" ht="39.6">
      <c r="A61" s="175"/>
      <c r="B61" s="128" t="s">
        <v>164</v>
      </c>
      <c r="C61" s="128" t="s">
        <v>165</v>
      </c>
      <c r="D61" s="10" t="s">
        <v>84</v>
      </c>
      <c r="E61" s="7">
        <v>2400000</v>
      </c>
      <c r="F61" s="11">
        <v>0</v>
      </c>
      <c r="G61" s="11">
        <v>2400000</v>
      </c>
      <c r="H61" s="11">
        <v>0</v>
      </c>
      <c r="I61" s="7">
        <f t="shared" si="9"/>
        <v>2400000</v>
      </c>
      <c r="J61" s="7">
        <f t="shared" si="7"/>
        <v>0</v>
      </c>
      <c r="K61" s="74">
        <f t="shared" si="8"/>
        <v>0</v>
      </c>
      <c r="L61" s="76" t="s">
        <v>166</v>
      </c>
    </row>
    <row r="62" spans="1:12" s="4" customFormat="1" ht="66">
      <c r="A62" s="175"/>
      <c r="B62" s="178"/>
      <c r="C62" s="179"/>
      <c r="D62" s="10" t="s">
        <v>167</v>
      </c>
      <c r="E62" s="7">
        <v>4681970</v>
      </c>
      <c r="F62" s="11">
        <v>0</v>
      </c>
      <c r="G62" s="11">
        <v>4681970</v>
      </c>
      <c r="H62" s="11">
        <v>0</v>
      </c>
      <c r="I62" s="7">
        <f t="shared" si="9"/>
        <v>4681970</v>
      </c>
      <c r="J62" s="7">
        <f t="shared" si="7"/>
        <v>0</v>
      </c>
      <c r="K62" s="74">
        <f t="shared" si="8"/>
        <v>0</v>
      </c>
      <c r="L62" s="78" t="s">
        <v>168</v>
      </c>
    </row>
    <row r="63" spans="1:12" s="4" customFormat="1" ht="52.8">
      <c r="A63" s="175"/>
      <c r="B63" s="179"/>
      <c r="C63" s="13" t="s">
        <v>169</v>
      </c>
      <c r="D63" s="13" t="s">
        <v>170</v>
      </c>
      <c r="E63" s="7">
        <v>3000000</v>
      </c>
      <c r="F63" s="11">
        <v>0</v>
      </c>
      <c r="G63" s="11">
        <v>3000000</v>
      </c>
      <c r="H63" s="11">
        <v>0</v>
      </c>
      <c r="I63" s="7">
        <f t="shared" si="9"/>
        <v>3000000</v>
      </c>
      <c r="J63" s="7">
        <f t="shared" si="7"/>
        <v>0</v>
      </c>
      <c r="K63" s="74">
        <f t="shared" si="8"/>
        <v>0</v>
      </c>
      <c r="L63" s="76" t="s">
        <v>171</v>
      </c>
    </row>
    <row r="64" spans="1:12" s="4" customFormat="1" ht="145.19999999999999">
      <c r="A64" s="175"/>
      <c r="B64" s="128" t="s">
        <v>172</v>
      </c>
      <c r="C64" s="13" t="s">
        <v>173</v>
      </c>
      <c r="D64" s="10" t="s">
        <v>90</v>
      </c>
      <c r="E64" s="7">
        <v>4856126</v>
      </c>
      <c r="F64" s="11">
        <v>0</v>
      </c>
      <c r="G64" s="11">
        <f>700000+1000000+1050000+96500</f>
        <v>2846500</v>
      </c>
      <c r="H64" s="11">
        <v>2009626</v>
      </c>
      <c r="I64" s="7">
        <f>700000+1000000+1050000+96500+2000000+9626</f>
        <v>4856126</v>
      </c>
      <c r="J64" s="7">
        <f t="shared" si="7"/>
        <v>0</v>
      </c>
      <c r="K64" s="74">
        <f t="shared" si="8"/>
        <v>0</v>
      </c>
      <c r="L64" s="76" t="s">
        <v>210</v>
      </c>
    </row>
    <row r="65" spans="1:12" s="4" customFormat="1" ht="39.6">
      <c r="A65" s="175"/>
      <c r="B65" s="178"/>
      <c r="C65" s="13" t="s">
        <v>172</v>
      </c>
      <c r="D65" s="10" t="s">
        <v>92</v>
      </c>
      <c r="E65" s="7">
        <v>200000</v>
      </c>
      <c r="F65" s="11">
        <v>0</v>
      </c>
      <c r="G65" s="11">
        <v>200000</v>
      </c>
      <c r="H65" s="11">
        <v>0</v>
      </c>
      <c r="I65" s="7">
        <f>SUM(E65:E65)</f>
        <v>200000</v>
      </c>
      <c r="J65" s="7">
        <f t="shared" si="7"/>
        <v>0</v>
      </c>
      <c r="K65" s="74">
        <f t="shared" si="8"/>
        <v>0</v>
      </c>
      <c r="L65" s="78" t="s">
        <v>174</v>
      </c>
    </row>
    <row r="66" spans="1:12" s="4" customFormat="1" ht="39.6">
      <c r="A66" s="175"/>
      <c r="B66" s="179"/>
      <c r="C66" s="13" t="s">
        <v>175</v>
      </c>
      <c r="D66" s="10" t="s">
        <v>94</v>
      </c>
      <c r="E66" s="7">
        <v>300000</v>
      </c>
      <c r="F66" s="11">
        <v>0</v>
      </c>
      <c r="G66" s="11">
        <v>0</v>
      </c>
      <c r="H66" s="11">
        <v>300000</v>
      </c>
      <c r="I66" s="7">
        <f>SUM(E66:E66)</f>
        <v>300000</v>
      </c>
      <c r="J66" s="7">
        <f t="shared" si="7"/>
        <v>0</v>
      </c>
      <c r="K66" s="74">
        <f t="shared" si="8"/>
        <v>0</v>
      </c>
      <c r="L66" s="78" t="s">
        <v>176</v>
      </c>
    </row>
    <row r="67" spans="1:12" s="4" customFormat="1" ht="66">
      <c r="A67" s="175"/>
      <c r="B67" s="13" t="s">
        <v>177</v>
      </c>
      <c r="C67" s="13" t="s">
        <v>177</v>
      </c>
      <c r="D67" s="10" t="s">
        <v>96</v>
      </c>
      <c r="E67" s="7">
        <v>881211</v>
      </c>
      <c r="F67" s="11">
        <v>0</v>
      </c>
      <c r="G67" s="11">
        <f>800100+81111</f>
        <v>881211</v>
      </c>
      <c r="H67" s="11">
        <v>0</v>
      </c>
      <c r="I67" s="7">
        <f>SUM(E67:E67)</f>
        <v>881211</v>
      </c>
      <c r="J67" s="7">
        <f t="shared" si="7"/>
        <v>0</v>
      </c>
      <c r="K67" s="74">
        <f t="shared" si="8"/>
        <v>0</v>
      </c>
      <c r="L67" s="76" t="s">
        <v>178</v>
      </c>
    </row>
    <row r="68" spans="1:12" s="4" customFormat="1" ht="41.25" customHeight="1">
      <c r="A68" s="176"/>
      <c r="B68" s="13" t="s">
        <v>179</v>
      </c>
      <c r="C68" s="13" t="s">
        <v>179</v>
      </c>
      <c r="D68" s="10" t="s">
        <v>180</v>
      </c>
      <c r="E68" s="7">
        <v>1200000</v>
      </c>
      <c r="F68" s="11">
        <v>0</v>
      </c>
      <c r="G68" s="11">
        <f>800000+400000</f>
        <v>1200000</v>
      </c>
      <c r="H68" s="11">
        <v>0</v>
      </c>
      <c r="I68" s="7">
        <f>SUM(F68:H68)</f>
        <v>1200000</v>
      </c>
      <c r="J68" s="7">
        <f t="shared" si="7"/>
        <v>0</v>
      </c>
      <c r="K68" s="74">
        <f t="shared" si="8"/>
        <v>0</v>
      </c>
      <c r="L68" s="76" t="s">
        <v>196</v>
      </c>
    </row>
    <row r="69" spans="1:12" s="4" customFormat="1">
      <c r="A69" s="126" t="s">
        <v>98</v>
      </c>
      <c r="B69" s="180"/>
      <c r="C69" s="180"/>
      <c r="D69" s="180"/>
      <c r="E69" s="17">
        <f>SUM(E49:E68)</f>
        <v>368350196</v>
      </c>
      <c r="F69" s="17">
        <f>SUM(F49:F68)</f>
        <v>340299960</v>
      </c>
      <c r="G69" s="17">
        <f>SUM(G49:G68)</f>
        <v>23009681</v>
      </c>
      <c r="H69" s="17">
        <f>SUM(H49:H68)</f>
        <v>6040555</v>
      </c>
      <c r="I69" s="17">
        <f>SUM(I49:I68)</f>
        <v>369350196</v>
      </c>
      <c r="J69" s="79">
        <f t="shared" si="7"/>
        <v>1000000</v>
      </c>
      <c r="K69" s="80">
        <f t="shared" si="8"/>
        <v>0.271480784009139</v>
      </c>
      <c r="L69" s="81"/>
    </row>
    <row r="70" spans="1:12" s="4" customFormat="1" ht="136.5" customHeight="1">
      <c r="A70" s="134" t="s">
        <v>99</v>
      </c>
      <c r="B70" s="128" t="s">
        <v>181</v>
      </c>
      <c r="C70" s="128" t="s">
        <v>100</v>
      </c>
      <c r="D70" s="10" t="s">
        <v>100</v>
      </c>
      <c r="E70" s="7">
        <v>805157</v>
      </c>
      <c r="F70" s="11">
        <v>40000</v>
      </c>
      <c r="G70" s="11">
        <v>0</v>
      </c>
      <c r="H70" s="11">
        <f>(5741759-5000000)+13102+186+110+10000</f>
        <v>765157</v>
      </c>
      <c r="I70" s="7">
        <f>SUM(F70:H70)</f>
        <v>805157</v>
      </c>
      <c r="J70" s="7">
        <f t="shared" si="7"/>
        <v>0</v>
      </c>
      <c r="K70" s="74">
        <f t="shared" si="8"/>
        <v>0</v>
      </c>
      <c r="L70" s="88" t="s">
        <v>195</v>
      </c>
    </row>
    <row r="71" spans="1:12" s="4" customFormat="1" ht="143.25" customHeight="1">
      <c r="A71" s="175"/>
      <c r="B71" s="178"/>
      <c r="C71" s="179"/>
      <c r="D71" s="10" t="s">
        <v>101</v>
      </c>
      <c r="E71" s="7">
        <v>10670000</v>
      </c>
      <c r="F71" s="11">
        <v>0</v>
      </c>
      <c r="G71" s="11">
        <f>5670000+3330000</f>
        <v>9000000</v>
      </c>
      <c r="H71" s="11">
        <v>5000000</v>
      </c>
      <c r="I71" s="7">
        <f>SUM(F71:H71)</f>
        <v>14000000</v>
      </c>
      <c r="J71" s="7">
        <f t="shared" si="7"/>
        <v>3330000</v>
      </c>
      <c r="K71" s="74">
        <f t="shared" si="8"/>
        <v>31.208997188378635</v>
      </c>
      <c r="L71" s="77" t="s">
        <v>211</v>
      </c>
    </row>
    <row r="72" spans="1:12" s="4" customFormat="1" ht="118.8">
      <c r="A72" s="176"/>
      <c r="B72" s="179"/>
      <c r="C72" s="13" t="s">
        <v>102</v>
      </c>
      <c r="D72" s="10" t="s">
        <v>102</v>
      </c>
      <c r="E72" s="7">
        <v>9695499</v>
      </c>
      <c r="F72" s="11">
        <f>9695499+1463</f>
        <v>9696962</v>
      </c>
      <c r="G72" s="89"/>
      <c r="H72" s="11">
        <v>0</v>
      </c>
      <c r="I72" s="7">
        <f>SUM(F72:H72)</f>
        <v>9696962</v>
      </c>
      <c r="J72" s="7">
        <f t="shared" si="7"/>
        <v>1463</v>
      </c>
      <c r="K72" s="74">
        <f t="shared" si="8"/>
        <v>1.5089476054816775E-2</v>
      </c>
      <c r="L72" s="77" t="s">
        <v>212</v>
      </c>
    </row>
    <row r="73" spans="1:12" s="4" customFormat="1" ht="18" thickBot="1">
      <c r="A73" s="184" t="s">
        <v>103</v>
      </c>
      <c r="B73" s="185"/>
      <c r="C73" s="185"/>
      <c r="D73" s="185"/>
      <c r="E73" s="60">
        <f>SUM(E70:E72)</f>
        <v>21170656</v>
      </c>
      <c r="F73" s="60">
        <f>SUM(F70:F72)</f>
        <v>9736962</v>
      </c>
      <c r="G73" s="60">
        <f>SUM(G70:G72)</f>
        <v>9000000</v>
      </c>
      <c r="H73" s="60">
        <f>SUM(H70:H72)</f>
        <v>5765157</v>
      </c>
      <c r="I73" s="60">
        <f>SUM(I70:I72)</f>
        <v>24502119</v>
      </c>
      <c r="J73" s="27">
        <f t="shared" si="7"/>
        <v>3331463</v>
      </c>
      <c r="K73" s="90">
        <f t="shared" si="8"/>
        <v>15.736229430018605</v>
      </c>
      <c r="L73" s="91"/>
    </row>
    <row r="74" spans="1:12" s="4" customFormat="1" ht="18" thickBot="1">
      <c r="A74" s="182" t="s">
        <v>104</v>
      </c>
      <c r="B74" s="183"/>
      <c r="C74" s="183"/>
      <c r="D74" s="183"/>
      <c r="E74" s="92">
        <f>E73+E69+E48+E45</f>
        <v>733957489</v>
      </c>
      <c r="F74" s="92">
        <f>F73+F69+F48+F45</f>
        <v>682913852</v>
      </c>
      <c r="G74" s="92">
        <f>G73+G69+G48+G45</f>
        <v>43569388</v>
      </c>
      <c r="H74" s="92">
        <f>H73+H69+H48+H45</f>
        <v>11805712</v>
      </c>
      <c r="I74" s="92">
        <f>I73+I69+I48+I45</f>
        <v>738288952</v>
      </c>
      <c r="J74" s="92">
        <f t="shared" si="7"/>
        <v>4331463</v>
      </c>
      <c r="K74" s="93">
        <f t="shared" si="8"/>
        <v>0.59015175468834269</v>
      </c>
      <c r="L74" s="94" t="s">
        <v>127</v>
      </c>
    </row>
    <row r="75" spans="1:12">
      <c r="E75" s="95"/>
      <c r="F75" s="95"/>
      <c r="G75" s="95"/>
      <c r="H75" s="95"/>
      <c r="I75" s="95"/>
    </row>
    <row r="76" spans="1:12">
      <c r="E76" s="70"/>
      <c r="F76" s="70"/>
      <c r="G76" s="70"/>
      <c r="H76" s="70"/>
      <c r="I76" s="70"/>
    </row>
    <row r="77" spans="1:12">
      <c r="E77" s="70"/>
      <c r="F77" s="70"/>
      <c r="G77" s="70"/>
      <c r="H77" s="70"/>
      <c r="I77" s="70"/>
    </row>
    <row r="78" spans="1:12">
      <c r="E78" s="70"/>
      <c r="F78" s="70"/>
      <c r="G78" s="70"/>
      <c r="H78" s="70"/>
      <c r="I78" s="70"/>
    </row>
    <row r="79" spans="1:12">
      <c r="E79" s="70"/>
      <c r="F79" s="70"/>
      <c r="G79" s="70"/>
      <c r="H79" s="70"/>
      <c r="I79" s="70"/>
      <c r="L79" s="70"/>
    </row>
    <row r="80" spans="1:12" s="99" customFormat="1">
      <c r="A80"/>
      <c r="B80"/>
      <c r="C80"/>
      <c r="D80"/>
      <c r="E80" s="96"/>
      <c r="F80" s="96"/>
      <c r="G80" s="96"/>
      <c r="H80" s="97"/>
      <c r="I80" s="96"/>
      <c r="J80"/>
      <c r="K80"/>
      <c r="L80" s="98"/>
    </row>
    <row r="81" spans="1:12" s="99" customFormat="1">
      <c r="A81"/>
      <c r="B81"/>
      <c r="C81"/>
      <c r="D81"/>
      <c r="E81" s="96"/>
      <c r="F81" s="96"/>
      <c r="G81" s="96"/>
      <c r="H81" s="97"/>
      <c r="I81" s="96"/>
      <c r="J81"/>
      <c r="K81"/>
      <c r="L81" s="98"/>
    </row>
    <row r="82" spans="1:12" s="99" customFormat="1">
      <c r="A82"/>
      <c r="B82"/>
      <c r="C82"/>
      <c r="D82"/>
      <c r="E82"/>
      <c r="F82"/>
      <c r="G82"/>
      <c r="H82"/>
      <c r="I82"/>
      <c r="J82"/>
      <c r="K82"/>
      <c r="L82" s="98"/>
    </row>
    <row r="83" spans="1:12" s="99" customFormat="1">
      <c r="A83"/>
      <c r="B83"/>
      <c r="C83"/>
      <c r="D83"/>
      <c r="E83"/>
      <c r="F83"/>
      <c r="G83"/>
      <c r="H83"/>
      <c r="I83"/>
      <c r="J83"/>
      <c r="K83"/>
      <c r="L83" s="98"/>
    </row>
    <row r="84" spans="1:12" s="99" customFormat="1">
      <c r="A84"/>
      <c r="B84"/>
      <c r="C84"/>
      <c r="D84"/>
      <c r="E84"/>
      <c r="F84"/>
      <c r="G84"/>
      <c r="H84"/>
      <c r="I84"/>
      <c r="J84"/>
      <c r="K84"/>
      <c r="L84" s="98"/>
    </row>
    <row r="85" spans="1:12" s="99" customFormat="1">
      <c r="A85"/>
      <c r="B85"/>
      <c r="C85"/>
      <c r="D85"/>
      <c r="E85"/>
      <c r="F85"/>
      <c r="G85"/>
      <c r="H85"/>
      <c r="I85"/>
      <c r="J85"/>
      <c r="K85"/>
      <c r="L85" s="98"/>
    </row>
    <row r="86" spans="1:12" s="99" customFormat="1">
      <c r="A86"/>
      <c r="B86"/>
      <c r="C86"/>
      <c r="D86"/>
      <c r="E86"/>
      <c r="F86"/>
      <c r="G86"/>
      <c r="H86"/>
      <c r="I86"/>
      <c r="J86"/>
      <c r="K86"/>
      <c r="L86" s="98"/>
    </row>
    <row r="87" spans="1:12" s="99" customFormat="1">
      <c r="A87"/>
      <c r="B87"/>
      <c r="C87"/>
      <c r="D87"/>
      <c r="E87"/>
      <c r="F87"/>
      <c r="G87"/>
      <c r="H87"/>
      <c r="I87"/>
      <c r="J87"/>
      <c r="K87"/>
      <c r="L87" s="98"/>
    </row>
    <row r="88" spans="1:12" s="99" customFormat="1">
      <c r="A88"/>
      <c r="B88"/>
      <c r="C88"/>
      <c r="D88"/>
      <c r="E88"/>
      <c r="F88"/>
      <c r="G88"/>
      <c r="H88"/>
      <c r="I88"/>
      <c r="J88"/>
      <c r="K88"/>
      <c r="L88" s="98"/>
    </row>
    <row r="89" spans="1:12" s="100" customFormat="1">
      <c r="A89"/>
      <c r="B89"/>
      <c r="C89"/>
      <c r="D89"/>
      <c r="E89"/>
      <c r="F89"/>
      <c r="G89"/>
      <c r="H89"/>
      <c r="I89"/>
      <c r="J89"/>
      <c r="K89"/>
      <c r="L89" s="98"/>
    </row>
    <row r="90" spans="1:12" s="100" customFormat="1">
      <c r="A90"/>
      <c r="B90"/>
      <c r="C90"/>
      <c r="D90"/>
      <c r="E90"/>
      <c r="F90"/>
      <c r="G90"/>
      <c r="H90"/>
      <c r="I90"/>
      <c r="J90"/>
      <c r="K90"/>
      <c r="L90" s="98"/>
    </row>
    <row r="91" spans="1:12" s="100" customFormat="1">
      <c r="A91"/>
      <c r="B91"/>
      <c r="C91"/>
      <c r="D91"/>
      <c r="E91"/>
      <c r="F91"/>
      <c r="G91"/>
      <c r="H91"/>
      <c r="I91"/>
      <c r="J91"/>
      <c r="K91"/>
      <c r="L91" s="98"/>
    </row>
    <row r="92" spans="1:12" s="100" customFormat="1">
      <c r="A92"/>
      <c r="B92"/>
      <c r="C92"/>
      <c r="D92"/>
      <c r="E92"/>
      <c r="F92"/>
      <c r="G92"/>
      <c r="H92"/>
      <c r="I92"/>
      <c r="J92"/>
      <c r="K92"/>
      <c r="L92" s="98"/>
    </row>
  </sheetData>
  <mergeCells count="50">
    <mergeCell ref="A74:D74"/>
    <mergeCell ref="B64:B66"/>
    <mergeCell ref="A69:D69"/>
    <mergeCell ref="A70:A72"/>
    <mergeCell ref="B70:B72"/>
    <mergeCell ref="C70:C71"/>
    <mergeCell ref="A73:D73"/>
    <mergeCell ref="A45:D45"/>
    <mergeCell ref="A46:A47"/>
    <mergeCell ref="B46:B47"/>
    <mergeCell ref="A48:D48"/>
    <mergeCell ref="A49:A68"/>
    <mergeCell ref="B49:B52"/>
    <mergeCell ref="B53:B60"/>
    <mergeCell ref="C55:C59"/>
    <mergeCell ref="B61:B63"/>
    <mergeCell ref="C61:C62"/>
    <mergeCell ref="J32:J33"/>
    <mergeCell ref="K32:K33"/>
    <mergeCell ref="L32:L33"/>
    <mergeCell ref="A34:A44"/>
    <mergeCell ref="B34:B38"/>
    <mergeCell ref="B40:B44"/>
    <mergeCell ref="I32:I33"/>
    <mergeCell ref="A27:D27"/>
    <mergeCell ref="A28:D28"/>
    <mergeCell ref="A32:D32"/>
    <mergeCell ref="E32:E33"/>
    <mergeCell ref="F32:H32"/>
    <mergeCell ref="A19:D19"/>
    <mergeCell ref="A21:D21"/>
    <mergeCell ref="A22:A23"/>
    <mergeCell ref="B22:B23"/>
    <mergeCell ref="A24:D24"/>
    <mergeCell ref="A25:A26"/>
    <mergeCell ref="B25:B26"/>
    <mergeCell ref="L3:L4"/>
    <mergeCell ref="A5:A14"/>
    <mergeCell ref="B5:B14"/>
    <mergeCell ref="C6:C14"/>
    <mergeCell ref="A15:D15"/>
    <mergeCell ref="A16:A18"/>
    <mergeCell ref="B16:B18"/>
    <mergeCell ref="C16:C17"/>
    <mergeCell ref="A3:D3"/>
    <mergeCell ref="E3:E4"/>
    <mergeCell ref="F3:H3"/>
    <mergeCell ref="I3:I4"/>
    <mergeCell ref="J3:J4"/>
    <mergeCell ref="K3:K4"/>
  </mergeCells>
  <phoneticPr fontId="3" type="noConversion"/>
  <pageMargins left="0.51181102362204722" right="0.51181102362204722" top="0.74803149606299213" bottom="0.94488188976377963" header="0.31496062992125984" footer="0.51181102362204722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23추경3차 총괄표</vt:lpstr>
      <vt:lpstr>23추경3차_명세서(12월)</vt:lpstr>
      <vt:lpstr>'23추경3차 총괄표'!Print_Titles</vt:lpstr>
      <vt:lpstr>'23추경3차_명세서(12월)'!Print_Titles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2023-12-13T09:28:26Z</cp:lastPrinted>
  <dcterms:created xsi:type="dcterms:W3CDTF">2023-12-13T03:01:28Z</dcterms:created>
  <dcterms:modified xsi:type="dcterms:W3CDTF">2023-12-14T02:22:11Z</dcterms:modified>
</cp:coreProperties>
</file>